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ия\Desktop\Реестр контрактов\2021 год\"/>
    </mc:Choice>
  </mc:AlternateContent>
  <bookViews>
    <workbookView xWindow="0" yWindow="0" windowWidth="23040" windowHeight="8676" activeTab="1"/>
  </bookViews>
  <sheets>
    <sheet name="Ед.поставщик п.4 ч.1" sheetId="1" r:id="rId1"/>
    <sheet name="Ед.поставщик п.5 ч.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6" i="2" l="1"/>
  <c r="I124" i="2"/>
  <c r="I123" i="2"/>
  <c r="I122" i="2"/>
  <c r="I121" i="2"/>
  <c r="I120" i="2"/>
  <c r="I119" i="2"/>
  <c r="I118" i="2"/>
  <c r="I112" i="2"/>
  <c r="I111" i="2"/>
  <c r="I110" i="2"/>
  <c r="I109" i="2"/>
  <c r="I108" i="2"/>
  <c r="I107" i="2"/>
  <c r="I106" i="2"/>
  <c r="I105" i="2"/>
  <c r="H105" i="2"/>
  <c r="I104" i="2"/>
  <c r="I103" i="2"/>
  <c r="I100" i="2"/>
  <c r="I99" i="2"/>
  <c r="I98" i="2"/>
  <c r="I97" i="2"/>
  <c r="I96" i="2"/>
  <c r="I95" i="2"/>
  <c r="I92" i="2"/>
  <c r="I91" i="2"/>
  <c r="I90" i="2"/>
  <c r="I88" i="2"/>
  <c r="I87" i="2"/>
  <c r="I83" i="2"/>
  <c r="I77" i="2"/>
  <c r="I76" i="2"/>
  <c r="I75" i="2"/>
  <c r="I74" i="2"/>
  <c r="I68" i="2"/>
  <c r="I65" i="2"/>
  <c r="I59" i="2"/>
  <c r="I57" i="2"/>
  <c r="I55" i="2"/>
  <c r="I50" i="2"/>
  <c r="I34" i="2"/>
  <c r="I24" i="2"/>
  <c r="I21" i="2"/>
  <c r="P16" i="2"/>
  <c r="I4" i="2"/>
  <c r="I137" i="1"/>
  <c r="I136" i="1"/>
  <c r="I135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88" i="1"/>
  <c r="I79" i="1"/>
  <c r="I70" i="1"/>
  <c r="I60" i="1"/>
  <c r="I51" i="1"/>
  <c r="I48" i="1"/>
  <c r="I45" i="1"/>
  <c r="I41" i="1"/>
  <c r="I35" i="1"/>
  <c r="I26" i="1"/>
  <c r="I19" i="1"/>
  <c r="I13" i="1"/>
  <c r="I4" i="1"/>
</calcChain>
</file>

<file path=xl/sharedStrings.xml><?xml version="1.0" encoding="utf-8"?>
<sst xmlns="http://schemas.openxmlformats.org/spreadsheetml/2006/main" count="995" uniqueCount="369">
  <si>
    <t>Муниципальная программа "Развитие образования"</t>
  </si>
  <si>
    <t>нет</t>
  </si>
  <si>
    <t>92507020000000000244</t>
  </si>
  <si>
    <t>Услуги по обращению с твердыми коммунальными отходами</t>
  </si>
  <si>
    <t>2353022813</t>
  </si>
  <si>
    <t>ООО "Чистый город"</t>
  </si>
  <si>
    <t>да</t>
  </si>
  <si>
    <t>ежемесячно</t>
  </si>
  <si>
    <t>Не позднее 30 календарных дней с момента подписания акта приема-сдачи и документа на оплату</t>
  </si>
  <si>
    <t>18</t>
  </si>
  <si>
    <t>Оказание услуг связи</t>
  </si>
  <si>
    <t>7707049388</t>
  </si>
  <si>
    <t>ПАО "Ростелеком"</t>
  </si>
  <si>
    <t>206-Б2</t>
  </si>
  <si>
    <t>Оказание услуг электросвязи</t>
  </si>
  <si>
    <t>206</t>
  </si>
  <si>
    <t>207-И</t>
  </si>
  <si>
    <t>Услуги интернет</t>
  </si>
  <si>
    <t>90</t>
  </si>
  <si>
    <t>Сервесное обслуживание теплового счетчика</t>
  </si>
  <si>
    <t>23531271520</t>
  </si>
  <si>
    <t>ИП Дудкин А.С.</t>
  </si>
  <si>
    <t>ежемесячно в период отопительного сезона</t>
  </si>
  <si>
    <t>18/21</t>
  </si>
  <si>
    <t>Услуги по дератизации</t>
  </si>
  <si>
    <t>2353018870</t>
  </si>
  <si>
    <t>ООО "Дезинфекция"</t>
  </si>
  <si>
    <t>поквартально</t>
  </si>
  <si>
    <t>ДГ-21/47</t>
  </si>
  <si>
    <t>Техническое сопровождение системы мониторинга</t>
  </si>
  <si>
    <t>2369000660</t>
  </si>
  <si>
    <t>ООО "КАНкорт"</t>
  </si>
  <si>
    <t>42</t>
  </si>
  <si>
    <t>ТО автоматических установок пожарной сигнализации</t>
  </si>
  <si>
    <t>2353002302</t>
  </si>
  <si>
    <t>ООО "Сигнал"</t>
  </si>
  <si>
    <t>3400659</t>
  </si>
  <si>
    <t>Охрана с использованием КТС</t>
  </si>
  <si>
    <t>2310163739</t>
  </si>
  <si>
    <t>ФГКУ "Управление вневедомственной охраны войск нац.гвардии РФ по Краснодарскому краю"</t>
  </si>
  <si>
    <t>50-С</t>
  </si>
  <si>
    <t>ТО станции пожарной системы пожарного мониторинга ПАК "Стрелец -мониторинг"</t>
  </si>
  <si>
    <t>524/21-С</t>
  </si>
  <si>
    <t>2310142841</t>
  </si>
  <si>
    <t>ООО "Техносити"</t>
  </si>
  <si>
    <t>ДГ-21/128</t>
  </si>
  <si>
    <t>125</t>
  </si>
  <si>
    <t>услуги по активации и настройке тахографа</t>
  </si>
  <si>
    <t>однократно</t>
  </si>
  <si>
    <t>127</t>
  </si>
  <si>
    <t>услуги по первичному подключению к инф.серверу транспорт</t>
  </si>
  <si>
    <t>Т003</t>
  </si>
  <si>
    <t>Страхование ОСАГО</t>
  </si>
  <si>
    <t>8601023568</t>
  </si>
  <si>
    <t>АО "ГСК Югория"</t>
  </si>
  <si>
    <t>1</t>
  </si>
  <si>
    <t>Услуги по ремонту автобуса</t>
  </si>
  <si>
    <t>235303483777</t>
  </si>
  <si>
    <t>ИП Аполонов А.А</t>
  </si>
  <si>
    <t>внебюджетные средства</t>
  </si>
  <si>
    <t>ремонт ноутбука</t>
  </si>
  <si>
    <t>2353070208564</t>
  </si>
  <si>
    <t>ИП Нидялков Н.В.</t>
  </si>
  <si>
    <t>68-ТО</t>
  </si>
  <si>
    <t>Проверка тех.состояния транспортных средств</t>
  </si>
  <si>
    <t>235305769122</t>
  </si>
  <si>
    <t>ИП Барма Иван Николаевич</t>
  </si>
  <si>
    <t>23050400/20</t>
  </si>
  <si>
    <t>За услуги абонентского обслуж.программы"Контур.Экстерн"</t>
  </si>
  <si>
    <t xml:space="preserve">6663003127 </t>
  </si>
  <si>
    <t>АО "ПФ "СКБ Контур"</t>
  </si>
  <si>
    <t>2021.030638</t>
  </si>
  <si>
    <t>Приобретение набора реактивов для ГИА по химии»</t>
  </si>
  <si>
    <t>7720453705</t>
  </si>
  <si>
    <t>ООО "Центр Ректор"</t>
  </si>
  <si>
    <t>Не позднее 30 календарных дней с момента подписания ТН и документа на оплату</t>
  </si>
  <si>
    <t>116-ТО</t>
  </si>
  <si>
    <t>9</t>
  </si>
  <si>
    <t>Приобретение моющих и чистящих средств</t>
  </si>
  <si>
    <t>234901570914</t>
  </si>
  <si>
    <t>ИП Киселев Р.В.</t>
  </si>
  <si>
    <t>23-7357</t>
  </si>
  <si>
    <t>Поставка полиграфической продукции</t>
  </si>
  <si>
    <t>7706526550</t>
  </si>
  <si>
    <t>ООО "СпецБланк-Москва"</t>
  </si>
  <si>
    <t xml:space="preserve">в течении 40 календарных дней </t>
  </si>
  <si>
    <t>92500000000000000244</t>
  </si>
  <si>
    <t>2021.062827</t>
  </si>
  <si>
    <t>Поставка бумаги для печати</t>
  </si>
  <si>
    <t>235300006920</t>
  </si>
  <si>
    <t>ИП Кислинская Юлия Николаевна</t>
  </si>
  <si>
    <t xml:space="preserve">в течении 7 календарных дней </t>
  </si>
  <si>
    <t>24</t>
  </si>
  <si>
    <t>ремонт автобуса</t>
  </si>
  <si>
    <t>23</t>
  </si>
  <si>
    <t>25.02.23021</t>
  </si>
  <si>
    <t>64</t>
  </si>
  <si>
    <t>за право пользования програм. Продукта</t>
  </si>
  <si>
    <t>2353002623</t>
  </si>
  <si>
    <t>ООО "Компьютер бизнес сервис СИБИЭС"</t>
  </si>
  <si>
    <t>28</t>
  </si>
  <si>
    <t>65</t>
  </si>
  <si>
    <t xml:space="preserve"> приобретение встраемых накопителей</t>
  </si>
  <si>
    <t>26</t>
  </si>
  <si>
    <t>заправка картриджей,ремонт техники</t>
  </si>
  <si>
    <t>231107998282</t>
  </si>
  <si>
    <t>ИП Даценко И.Н.</t>
  </si>
  <si>
    <t>62</t>
  </si>
  <si>
    <t>приобретение дезенфицирующих средств</t>
  </si>
  <si>
    <t>2308202349</t>
  </si>
  <si>
    <t>ООО "Мед Холдинг"</t>
  </si>
  <si>
    <t>2021.108869</t>
  </si>
  <si>
    <t>приобретение бумаги</t>
  </si>
  <si>
    <t>7706688536</t>
  </si>
  <si>
    <t>ООО "ЦТО"</t>
  </si>
  <si>
    <t>со дня заключения сторонами контракта в течение 7 (семи) календарных дней.</t>
  </si>
  <si>
    <t>21/21</t>
  </si>
  <si>
    <t>кап.ремонт кровли</t>
  </si>
  <si>
    <t>2308261834</t>
  </si>
  <si>
    <t>ООО "ОСТ"</t>
  </si>
  <si>
    <t>30(тридцать) дней с момента заключения договора.</t>
  </si>
  <si>
    <t>Расчет за выполненные работы производится Заказчиком в течение 30 (тридцати) дней после полного завершения работ</t>
  </si>
  <si>
    <t>АТ00-02777</t>
  </si>
  <si>
    <t>услуги по изготовлению ЭЦП</t>
  </si>
  <si>
    <t>2311187588</t>
  </si>
  <si>
    <t>ООО "Айти Мониторинг"</t>
  </si>
  <si>
    <t>34</t>
  </si>
  <si>
    <t>Монтаж системы видеонаблюдения</t>
  </si>
  <si>
    <t>20 дней с момента заключения договора.</t>
  </si>
  <si>
    <t>77/21</t>
  </si>
  <si>
    <t>Медосмотр сотрудников</t>
  </si>
  <si>
    <t>2353006498</t>
  </si>
  <si>
    <t>ГБУЗи "Тимашевская центральная районная больница"</t>
  </si>
  <si>
    <t>33</t>
  </si>
  <si>
    <t>37</t>
  </si>
  <si>
    <t>Приобретение мебели</t>
  </si>
  <si>
    <t>236900321563</t>
  </si>
  <si>
    <t>ИП Жабин</t>
  </si>
  <si>
    <t>Поставка товара осуществляется в течение 7 календарных  дней со дня заключения сторонами контракта.</t>
  </si>
  <si>
    <t>35</t>
  </si>
  <si>
    <t>7735027347</t>
  </si>
  <si>
    <t>ООО «КВОРУС»</t>
  </si>
  <si>
    <t>Поставка товара осуществляется в течение 30календарных  дней со дня заключения сторонами контракта.</t>
  </si>
  <si>
    <t>Не позднее90 календарных дней с момента подписания ТН и документа на оплату</t>
  </si>
  <si>
    <t>209</t>
  </si>
  <si>
    <t>Услуги по испытанию пожарных лестниц</t>
  </si>
  <si>
    <t>Поставка товара осуществляется в течение 15 календарных  дней со дня заключения сторонами контракта.</t>
  </si>
  <si>
    <t>Не позднее 60 календарных дней с момента подписания ТН и документа на оплату</t>
  </si>
  <si>
    <t>ремонт серверного оборудования</t>
  </si>
  <si>
    <t xml:space="preserve">в течении 10 ней </t>
  </si>
  <si>
    <t>38</t>
  </si>
  <si>
    <t>приобретение доски аудиторной</t>
  </si>
  <si>
    <t>202</t>
  </si>
  <si>
    <t xml:space="preserve">услуги по подготовке технического отчета </t>
  </si>
  <si>
    <t>2353023292</t>
  </si>
  <si>
    <t>ООО "Экопроект"</t>
  </si>
  <si>
    <t>Не позднее 60 календарных дней с момента подписания акта приема-сдачи и документа на оплату</t>
  </si>
  <si>
    <t>140/21</t>
  </si>
  <si>
    <t>дезинфекция учебных помещений</t>
  </si>
  <si>
    <t>2353025229</t>
  </si>
  <si>
    <t>ООО "Дезинфекция плюс"</t>
  </si>
  <si>
    <t>в течении 10 дней с момента подачи заявки</t>
  </si>
  <si>
    <t>не позднее 30 календарных дней с момента подписания акта приема-сдачи и документа на оплату</t>
  </si>
  <si>
    <t>45</t>
  </si>
  <si>
    <t>14</t>
  </si>
  <si>
    <t xml:space="preserve">поставка  учебно-педагогической документации </t>
  </si>
  <si>
    <t>2310132554</t>
  </si>
  <si>
    <t>ООО «Краснодарский учколлектор»</t>
  </si>
  <si>
    <t>до 06 августа 2021 года включительно</t>
  </si>
  <si>
    <t xml:space="preserve">3492/223 </t>
  </si>
  <si>
    <t>переодическая подписка</t>
  </si>
  <si>
    <t>7724490000</t>
  </si>
  <si>
    <t>АО "Почта России"</t>
  </si>
  <si>
    <t>сентябрь-декабрь 2021 г</t>
  </si>
  <si>
    <t>100% предоплата</t>
  </si>
  <si>
    <t>44</t>
  </si>
  <si>
    <t>услуги по определению категор.пожарной опас.помещений</t>
  </si>
  <si>
    <t>235303841817</t>
  </si>
  <si>
    <t>ИП Черненко А.Г.</t>
  </si>
  <si>
    <t>52</t>
  </si>
  <si>
    <t>232700415351</t>
  </si>
  <si>
    <t>ИП Руденчик В.П.</t>
  </si>
  <si>
    <t>187</t>
  </si>
  <si>
    <t>Приобретение газодымозащ.комплекта и фонаря</t>
  </si>
  <si>
    <t>фпк-72/4708</t>
  </si>
  <si>
    <t xml:space="preserve">услуги по обучению </t>
  </si>
  <si>
    <t>2310018516</t>
  </si>
  <si>
    <t>ФГБОУ ВО КГУФКСТ</t>
  </si>
  <si>
    <t>Т051</t>
  </si>
  <si>
    <t>166</t>
  </si>
  <si>
    <t>дезинфицирующие средства</t>
  </si>
  <si>
    <t>49</t>
  </si>
  <si>
    <t>интернет</t>
  </si>
  <si>
    <t>2311278891</t>
  </si>
  <si>
    <t>ООО "СвязьРесурс-Регион"</t>
  </si>
  <si>
    <t>с 01.07.2021 по 31.12.2021</t>
  </si>
  <si>
    <t>55</t>
  </si>
  <si>
    <t>покупка стаканов в пищеблок</t>
  </si>
  <si>
    <t>56</t>
  </si>
  <si>
    <t>б/н</t>
  </si>
  <si>
    <t>Приобритение хоз.товаров</t>
  </si>
  <si>
    <t>№п/п</t>
  </si>
  <si>
    <t>Наименование муниципальной программы, национального или регионального проекта</t>
  </si>
  <si>
    <t>№ договора/контракта</t>
  </si>
  <si>
    <t>Дата заключения договора/контракта</t>
  </si>
  <si>
    <t>Предмет договора/контракта</t>
  </si>
  <si>
    <t>Цена договора/контракта</t>
  </si>
  <si>
    <t xml:space="preserve">ИНН поставщика (подрядчика, исполнителя) </t>
  </si>
  <si>
    <t>Поставщик (подрядчик, исполнитель)</t>
  </si>
  <si>
    <t>Документ подтверждающий исполнение договора/контракта со стороны поставщика (подрядчика, исполнителя)</t>
  </si>
  <si>
    <t>Фактическая дата оплаты</t>
  </si>
  <si>
    <t>Сроки оплаты</t>
  </si>
  <si>
    <t>Сроки поставки</t>
  </si>
  <si>
    <t>СМП/СОНО (да/нет)</t>
  </si>
  <si>
    <t>контракт заключен через Портал Поставщиков</t>
  </si>
  <si>
    <t>Остаток по контракту</t>
  </si>
  <si>
    <t>Сумма оплаты, руб</t>
  </si>
  <si>
    <t xml:space="preserve">РЕЕСТР ЗАКУПОК п.4 ч.1 ст 93 </t>
  </si>
  <si>
    <t>14/21</t>
  </si>
  <si>
    <t>Оказание услуг по предоставлению автостоянки,предрейсовый тех. и мед .осмотр</t>
  </si>
  <si>
    <t>ИП Барма И.Н.</t>
  </si>
  <si>
    <t>Не позднее 30 календарных дней с момента подписания Заказчиком и Подрядчиком акта приема-сдачи и предоставленного Подрядчиком документа на оплату</t>
  </si>
  <si>
    <t xml:space="preserve">5/5-ТК </t>
  </si>
  <si>
    <t>Поставка ГСМ в течение января -марта 2021</t>
  </si>
  <si>
    <t>2310195709</t>
  </si>
  <si>
    <t>ООО "Альянс  Розница"</t>
  </si>
  <si>
    <t>Не позднее 30 календарных дней с момента подписания Заказчиком и Поставщиком ТН и предоставленного Поставщиком документа на оплату</t>
  </si>
  <si>
    <t>Услуги по организации горячего питания (6 руб; 10 руб)</t>
  </si>
  <si>
    <t>2353020735</t>
  </si>
  <si>
    <t>ООО "Тимашевское ПРТ Райпо"</t>
  </si>
  <si>
    <t>с 22.01.2021 г.по 25.05.2021г.</t>
  </si>
  <si>
    <t>Не позднее 30 календарных дней с момента подписания Заказчиком  акта выполненных услуг</t>
  </si>
  <si>
    <t>Поставка молоко в течение января -мая 2021</t>
  </si>
  <si>
    <t>2334022342</t>
  </si>
  <si>
    <t>ООО "Калория"</t>
  </si>
  <si>
    <t>5</t>
  </si>
  <si>
    <t>Услуги по организации горячего питания детей с ОВЗ</t>
  </si>
  <si>
    <t>2</t>
  </si>
  <si>
    <t>Услуги по организации горячего питания детей 1-4 кл январь 2021 г.</t>
  </si>
  <si>
    <t>с 22.01.2021 г.по 31.01.2021г.</t>
  </si>
  <si>
    <t>3</t>
  </si>
  <si>
    <t>Услуги по организации горячего питания детей 1-4 кл (услуги 16,50 руб)</t>
  </si>
  <si>
    <t>с 22.01.2021 г.по 28.02.2021г.</t>
  </si>
  <si>
    <t>4</t>
  </si>
  <si>
    <t>Услуги по организации горячего питания детей 1-4 кл февраль 2021 г.</t>
  </si>
  <si>
    <t>с 01.02.2021 по 28.02.2021</t>
  </si>
  <si>
    <t>6</t>
  </si>
  <si>
    <t>Услуги по организации горячего питания детей 1-4 кл (услуги 19,00руб)</t>
  </si>
  <si>
    <t>с 01.03.2021 по 25.05.2021</t>
  </si>
  <si>
    <t>7</t>
  </si>
  <si>
    <t>Услуги по организации горячего питания детей 1-4 кл март 2021 г.</t>
  </si>
  <si>
    <t>с 01.03.2021 по 31.03.2021</t>
  </si>
  <si>
    <t>внебюджет</t>
  </si>
  <si>
    <t>8</t>
  </si>
  <si>
    <t xml:space="preserve"> Приобретение напольных шахмат</t>
  </si>
  <si>
    <t>7701102388</t>
  </si>
  <si>
    <t>ООО "Дайв"</t>
  </si>
  <si>
    <t>в течение 10 рабочих дней со дня подписания сторонами контракта</t>
  </si>
  <si>
    <t>2021.063064</t>
  </si>
  <si>
    <t>Приобретение ГСМ</t>
  </si>
  <si>
    <t>в течение апреля 2021</t>
  </si>
  <si>
    <t>2021.090507</t>
  </si>
  <si>
    <t>приобретение сканера</t>
  </si>
  <si>
    <t>5504218132</t>
  </si>
  <si>
    <t>ООО "Астром СПб"</t>
  </si>
  <si>
    <t>Поставка товара осуществляется со дня заключения сторонами контракта в течение 5 (пяти) дней.</t>
  </si>
  <si>
    <t>Услуги по организации горячего питания детей 1-4 кл апрель 2021 г.</t>
  </si>
  <si>
    <t>с 01.04.2021 по 30.04.2021</t>
  </si>
  <si>
    <t>10</t>
  </si>
  <si>
    <t>Услуги по организации горячего питания детей 1-4 кл май 2021 г.</t>
  </si>
  <si>
    <t>с 01.05.2021 по 31.05.2021</t>
  </si>
  <si>
    <t>Приобретение керамической плитки</t>
  </si>
  <si>
    <t>235300423000</t>
  </si>
  <si>
    <t xml:space="preserve">Индивидуальный предприниматель 
Воловик Сергей Леонидович
</t>
  </si>
  <si>
    <t>в течение 10 дней с момента заключения договора.</t>
  </si>
  <si>
    <t>18/1</t>
  </si>
  <si>
    <t>Услуги по организации горячего питания детский лагерь</t>
  </si>
  <si>
    <t>с 07.06.2021 по 25.06.2021</t>
  </si>
  <si>
    <t>2021.098229</t>
  </si>
  <si>
    <t>Приобретение ГСМ май</t>
  </si>
  <si>
    <t>в течении мая 2021</t>
  </si>
  <si>
    <t>262</t>
  </si>
  <si>
    <t>Услуги по ремонту электроосвещекния в пищеблоке</t>
  </si>
  <si>
    <t>ООО "Сигнал</t>
  </si>
  <si>
    <t>в течение 15 дней с момента заключения договора.</t>
  </si>
  <si>
    <t>Не позднее 90календарных дней с момента подписания Заказчиком  акта выполненных работ</t>
  </si>
  <si>
    <t>30/5-ТК</t>
  </si>
  <si>
    <t>Приобретение ГСМ июнь,июль,август</t>
  </si>
  <si>
    <t>в течении июнь,июль,август</t>
  </si>
  <si>
    <t>Приобретение двери</t>
  </si>
  <si>
    <t>235307103962</t>
  </si>
  <si>
    <t>ИП Копылов А.В.</t>
  </si>
  <si>
    <t>в течение 10 дней с момента подписания договора</t>
  </si>
  <si>
    <t>17</t>
  </si>
  <si>
    <t>Приобретение картриджей</t>
  </si>
  <si>
    <t>Изготовление плана эвакуации</t>
  </si>
  <si>
    <t>18/21/2</t>
  </si>
  <si>
    <t>услуги дезинфекции территории</t>
  </si>
  <si>
    <t>в течении 30 дней с момента заключения договора</t>
  </si>
  <si>
    <t>Не позднее 30 календарных дней с момента подписания Заказчиком  акта выполненных работ</t>
  </si>
  <si>
    <t>66</t>
  </si>
  <si>
    <t xml:space="preserve">услуги охраны 2 полугодие </t>
  </si>
  <si>
    <t>2304067057</t>
  </si>
  <si>
    <t>ООО ЧОО "Легион"</t>
  </si>
  <si>
    <t>27</t>
  </si>
  <si>
    <t>поверка узла учета тепловой энергии</t>
  </si>
  <si>
    <t>235301271520</t>
  </si>
  <si>
    <t>до 31.08.2021</t>
  </si>
  <si>
    <t>приобретение швейных машин</t>
  </si>
  <si>
    <t>231100756950</t>
  </si>
  <si>
    <t>ИП Щербак А.Н.</t>
  </si>
  <si>
    <t>30 дней с момента предоплаты</t>
  </si>
  <si>
    <t>100 % предоплата</t>
  </si>
  <si>
    <t>471</t>
  </si>
  <si>
    <t>Приобретение блока СКЗИ тахографа,активация и настройка тахог.</t>
  </si>
  <si>
    <t>238</t>
  </si>
  <si>
    <t>электроснабжение распашных ворот</t>
  </si>
  <si>
    <t>367</t>
  </si>
  <si>
    <t>За лабор.электр.испытания электрооборудования</t>
  </si>
  <si>
    <t>2353002303</t>
  </si>
  <si>
    <t>приобретение краски</t>
  </si>
  <si>
    <t>235305536400</t>
  </si>
  <si>
    <t>ИП Быстров А.А.</t>
  </si>
  <si>
    <t>курсы водителей</t>
  </si>
  <si>
    <t>2353017179</t>
  </si>
  <si>
    <t xml:space="preserve">       Тимашевская РО КРО ОО «Всероссийское общество автомобилистов», </t>
  </si>
  <si>
    <t>услуги тех.обслуживание системы видеонаблюдения</t>
  </si>
  <si>
    <t>41</t>
  </si>
  <si>
    <t xml:space="preserve">выполнению работ, связанных с ревизией задвижек, промывкой - опрессовке системы отопления </t>
  </si>
  <si>
    <t>2312054894</t>
  </si>
  <si>
    <t>АО «АТЭК»</t>
  </si>
  <si>
    <t>30</t>
  </si>
  <si>
    <t>поставка молоко в течение сентябрь-декабрь 2021</t>
  </si>
  <si>
    <t>ООО фирма  "Калория"</t>
  </si>
  <si>
    <t>с 07.09.2021 по 31.12.2021</t>
  </si>
  <si>
    <t>2021.198702</t>
  </si>
  <si>
    <t>Приобретение ГСМ сентябрь 2021</t>
  </si>
  <si>
    <t>с 01.09.2021. по 30.09.2021</t>
  </si>
  <si>
    <t>2021.218995</t>
  </si>
  <si>
    <t>Приобретение ГСМ октябрь 2022</t>
  </si>
  <si>
    <t>2310195710</t>
  </si>
  <si>
    <t>с 01.10.2021. по 31.10.2021</t>
  </si>
  <si>
    <t>СП-Т-5/21</t>
  </si>
  <si>
    <t>Семинар по закупкам</t>
  </si>
  <si>
    <t>2311163812</t>
  </si>
  <si>
    <t>ООО «АСМ-Партнер»</t>
  </si>
  <si>
    <t>не позднее 30 дней с момента подписания Заказчиком документа о приемке услуг</t>
  </si>
  <si>
    <t>01-06/2021</t>
  </si>
  <si>
    <t>услуги по эксертному заключению</t>
  </si>
  <si>
    <t>2353015365</t>
  </si>
  <si>
    <t>Союз "Торгово промышленная палата"</t>
  </si>
  <si>
    <t>40</t>
  </si>
  <si>
    <t>Напарвляющие раздаточной линии</t>
  </si>
  <si>
    <t>2310136485</t>
  </si>
  <si>
    <t>ООО«Фростлайн»</t>
  </si>
  <si>
    <t>Поставка товара осуществляется со дня заключения сторонами контракта в течение 21 дня.</t>
  </si>
  <si>
    <t xml:space="preserve">50% аванс в течении 10 дней с момента подписания контракта 
-50% не позднее 5 дней с момента подписания Заказчиком документа о приемке товара и представления Поставщиком документа на оплату
</t>
  </si>
  <si>
    <t>422269075</t>
  </si>
  <si>
    <t>подписка на журнал</t>
  </si>
  <si>
    <t xml:space="preserve">7713754243 </t>
  </si>
  <si>
    <t xml:space="preserve">Общество с ограниченной ответственностью «МЦФЭР-пресс», </t>
  </si>
  <si>
    <t>с 01.07.2021 по 31.01.2022</t>
  </si>
  <si>
    <t>до 30.10.2021</t>
  </si>
  <si>
    <t>ООО «Тимашевское ПРТ райпо»)</t>
  </si>
  <si>
    <t>с 01.09.2021 по 31.12.2021</t>
  </si>
  <si>
    <t>43</t>
  </si>
  <si>
    <t>приобретение накопителей</t>
  </si>
  <si>
    <t xml:space="preserve">РЕЕСТР ЗАКУПОК п.5 ч.1 ст 93 </t>
  </si>
  <si>
    <t>КБК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</si>
</sst>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#,##0.00\ &quot;₽&quot;;\-#,##0.00\ &quot;₽&quot;"/>
    <numFmt numFmtId="164" formatCode="[$-F800]dddd\,\ mmmm\ dd\,\ yyyy"/>
    <numFmt numFmtId="166" formatCode="#,##0.00\ &quot;₽&quot;"/>
  </numFmts>
  <fonts count="3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7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66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7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7" fontId="1" fillId="0" borderId="1" xfId="0" applyNumberFormat="1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7" fontId="1" fillId="0" borderId="3" xfId="0" applyNumberFormat="1" applyFont="1" applyBorder="1" applyAlignment="1" applyProtection="1">
      <alignment horizontal="center" vertical="center" wrapText="1"/>
      <protection locked="0"/>
    </xf>
    <xf numFmtId="164" fontId="1" fillId="0" borderId="3" xfId="0" applyNumberFormat="1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7"/>
  <sheetViews>
    <sheetView workbookViewId="0">
      <selection activeCell="F13" sqref="F13:F18"/>
    </sheetView>
  </sheetViews>
  <sheetFormatPr defaultRowHeight="14.4" x14ac:dyDescent="0.3"/>
  <cols>
    <col min="1" max="1" width="9" bestFit="1" customWidth="1"/>
    <col min="2" max="2" width="13.109375" customWidth="1"/>
    <col min="5" max="5" width="9" bestFit="1" customWidth="1"/>
    <col min="6" max="6" width="11.77734375" bestFit="1" customWidth="1"/>
    <col min="8" max="9" width="9" bestFit="1" customWidth="1"/>
    <col min="14" max="14" width="11.77734375" bestFit="1" customWidth="1"/>
    <col min="15" max="15" width="10.88671875" customWidth="1"/>
    <col min="16" max="16" width="9" bestFit="1" customWidth="1"/>
    <col min="17" max="17" width="12.21875" bestFit="1" customWidth="1"/>
  </cols>
  <sheetData>
    <row r="1" spans="1:17" ht="18" x14ac:dyDescent="0.35">
      <c r="A1" s="29" t="s">
        <v>217</v>
      </c>
    </row>
    <row r="3" spans="1:17" ht="81.599999999999994" x14ac:dyDescent="0.3">
      <c r="A3" s="28" t="s">
        <v>201</v>
      </c>
      <c r="B3" s="28" t="s">
        <v>202</v>
      </c>
      <c r="C3" s="28" t="s">
        <v>214</v>
      </c>
      <c r="D3" s="28"/>
      <c r="E3" s="28" t="s">
        <v>203</v>
      </c>
      <c r="F3" s="28" t="s">
        <v>204</v>
      </c>
      <c r="G3" s="28" t="s">
        <v>205</v>
      </c>
      <c r="H3" s="28" t="s">
        <v>206</v>
      </c>
      <c r="I3" s="28" t="s">
        <v>215</v>
      </c>
      <c r="J3" s="28" t="s">
        <v>207</v>
      </c>
      <c r="K3" s="28" t="s">
        <v>208</v>
      </c>
      <c r="L3" s="28" t="s">
        <v>213</v>
      </c>
      <c r="M3" s="28" t="s">
        <v>212</v>
      </c>
      <c r="N3" s="28" t="s">
        <v>209</v>
      </c>
      <c r="O3" s="28" t="s">
        <v>211</v>
      </c>
      <c r="P3" s="28" t="s">
        <v>216</v>
      </c>
      <c r="Q3" s="28" t="s">
        <v>210</v>
      </c>
    </row>
    <row r="4" spans="1:17" x14ac:dyDescent="0.3">
      <c r="A4" s="1">
        <v>1</v>
      </c>
      <c r="B4" s="2" t="s">
        <v>0</v>
      </c>
      <c r="C4" s="2" t="s">
        <v>1</v>
      </c>
      <c r="D4" s="2" t="s">
        <v>2</v>
      </c>
      <c r="E4" s="3">
        <v>16</v>
      </c>
      <c r="F4" s="4">
        <v>44195</v>
      </c>
      <c r="G4" s="2" t="s">
        <v>3</v>
      </c>
      <c r="H4" s="5">
        <v>160772.26</v>
      </c>
      <c r="I4" s="6">
        <f>IF(U4 = 1, H4 + SUM(#REF!) - SUM(#REF!) - SUM(P4:P12) - S4,0)</f>
        <v>0</v>
      </c>
      <c r="J4" s="3" t="s">
        <v>4</v>
      </c>
      <c r="K4" s="3" t="s">
        <v>5</v>
      </c>
      <c r="L4" s="2" t="s">
        <v>6</v>
      </c>
      <c r="M4" s="2" t="s">
        <v>7</v>
      </c>
      <c r="N4" s="7">
        <v>44225</v>
      </c>
      <c r="O4" s="4" t="s">
        <v>8</v>
      </c>
      <c r="P4" s="8">
        <v>6171.68</v>
      </c>
      <c r="Q4" s="9">
        <v>44236</v>
      </c>
    </row>
    <row r="5" spans="1:17" x14ac:dyDescent="0.3">
      <c r="A5" s="1"/>
      <c r="B5" s="2"/>
      <c r="C5" s="2"/>
      <c r="D5" s="2"/>
      <c r="E5" s="3"/>
      <c r="F5" s="4"/>
      <c r="G5" s="2"/>
      <c r="H5" s="5"/>
      <c r="I5" s="6"/>
      <c r="J5" s="3"/>
      <c r="K5" s="3"/>
      <c r="L5" s="2"/>
      <c r="M5" s="2"/>
      <c r="N5" s="7">
        <v>44253</v>
      </c>
      <c r="O5" s="4"/>
      <c r="P5" s="11">
        <v>7714.6</v>
      </c>
      <c r="Q5" s="9">
        <v>44293</v>
      </c>
    </row>
    <row r="6" spans="1:17" x14ac:dyDescent="0.3">
      <c r="A6" s="1"/>
      <c r="B6" s="2"/>
      <c r="C6" s="2"/>
      <c r="D6" s="2"/>
      <c r="E6" s="3"/>
      <c r="F6" s="4"/>
      <c r="G6" s="2"/>
      <c r="H6" s="5"/>
      <c r="I6" s="6"/>
      <c r="J6" s="3"/>
      <c r="K6" s="3"/>
      <c r="L6" s="2"/>
      <c r="M6" s="2"/>
      <c r="N6" s="7">
        <v>44286</v>
      </c>
      <c r="O6" s="4"/>
      <c r="P6" s="11">
        <v>10028.98</v>
      </c>
      <c r="Q6" s="9">
        <v>44302</v>
      </c>
    </row>
    <row r="7" spans="1:17" x14ac:dyDescent="0.3">
      <c r="A7" s="1"/>
      <c r="B7" s="2"/>
      <c r="C7" s="2"/>
      <c r="D7" s="2"/>
      <c r="E7" s="3"/>
      <c r="F7" s="4"/>
      <c r="G7" s="2"/>
      <c r="H7" s="5"/>
      <c r="I7" s="6"/>
      <c r="J7" s="3"/>
      <c r="K7" s="3"/>
      <c r="L7" s="2"/>
      <c r="M7" s="2"/>
      <c r="N7" s="7">
        <v>44347</v>
      </c>
      <c r="O7" s="4"/>
      <c r="P7" s="11">
        <v>6943.14</v>
      </c>
      <c r="Q7" s="9">
        <v>44341</v>
      </c>
    </row>
    <row r="8" spans="1:17" x14ac:dyDescent="0.3">
      <c r="A8" s="1"/>
      <c r="B8" s="2"/>
      <c r="C8" s="2"/>
      <c r="D8" s="2"/>
      <c r="E8" s="3"/>
      <c r="F8" s="4"/>
      <c r="G8" s="2"/>
      <c r="H8" s="5"/>
      <c r="I8" s="6"/>
      <c r="J8" s="3"/>
      <c r="K8" s="3"/>
      <c r="L8" s="2"/>
      <c r="M8" s="2"/>
      <c r="N8" s="7">
        <v>44377</v>
      </c>
      <c r="O8" s="4"/>
      <c r="P8" s="11">
        <v>3085.84</v>
      </c>
      <c r="Q8" s="9">
        <v>44377</v>
      </c>
    </row>
    <row r="9" spans="1:17" x14ac:dyDescent="0.3">
      <c r="A9" s="1"/>
      <c r="B9" s="2"/>
      <c r="C9" s="2"/>
      <c r="D9" s="2"/>
      <c r="E9" s="3"/>
      <c r="F9" s="4"/>
      <c r="G9" s="2"/>
      <c r="H9" s="5"/>
      <c r="I9" s="6"/>
      <c r="J9" s="3"/>
      <c r="K9" s="3"/>
      <c r="L9" s="2"/>
      <c r="M9" s="2"/>
      <c r="N9" s="7">
        <v>44407</v>
      </c>
      <c r="O9" s="4"/>
      <c r="P9" s="11">
        <v>10028.98</v>
      </c>
      <c r="Q9" s="9">
        <v>44413</v>
      </c>
    </row>
    <row r="10" spans="1:17" x14ac:dyDescent="0.3">
      <c r="A10" s="1"/>
      <c r="B10" s="2"/>
      <c r="C10" s="2"/>
      <c r="D10" s="2"/>
      <c r="E10" s="3"/>
      <c r="F10" s="4"/>
      <c r="G10" s="2"/>
      <c r="H10" s="5"/>
      <c r="I10" s="6"/>
      <c r="J10" s="3"/>
      <c r="K10" s="3"/>
      <c r="L10" s="2"/>
      <c r="M10" s="2"/>
      <c r="N10" s="7">
        <v>44439</v>
      </c>
      <c r="O10" s="4"/>
      <c r="P10" s="11">
        <v>16200.66</v>
      </c>
      <c r="Q10" s="9">
        <v>44424</v>
      </c>
    </row>
    <row r="11" spans="1:17" x14ac:dyDescent="0.3">
      <c r="A11" s="1"/>
      <c r="B11" s="2"/>
      <c r="C11" s="2"/>
      <c r="D11" s="2"/>
      <c r="E11" s="3"/>
      <c r="F11" s="4"/>
      <c r="G11" s="2"/>
      <c r="H11" s="5"/>
      <c r="I11" s="6"/>
      <c r="J11" s="3"/>
      <c r="K11" s="3"/>
      <c r="L11" s="2"/>
      <c r="M11" s="2"/>
      <c r="N11" s="7">
        <v>44469</v>
      </c>
      <c r="O11" s="4"/>
      <c r="P11" s="11">
        <v>4628.76</v>
      </c>
      <c r="Q11" s="9">
        <v>44449</v>
      </c>
    </row>
    <row r="12" spans="1:17" x14ac:dyDescent="0.3">
      <c r="A12" s="1"/>
      <c r="B12" s="2"/>
      <c r="C12" s="2"/>
      <c r="D12" s="2"/>
      <c r="E12" s="3"/>
      <c r="F12" s="4"/>
      <c r="G12" s="2"/>
      <c r="H12" s="5"/>
      <c r="I12" s="6"/>
      <c r="J12" s="3"/>
      <c r="K12" s="3"/>
      <c r="L12" s="2"/>
      <c r="M12" s="2"/>
      <c r="N12" s="7"/>
      <c r="O12" s="4"/>
      <c r="P12" s="11">
        <v>10800.44</v>
      </c>
      <c r="Q12" s="9">
        <v>44487</v>
      </c>
    </row>
    <row r="13" spans="1:17" x14ac:dyDescent="0.3">
      <c r="A13" s="1">
        <v>2</v>
      </c>
      <c r="B13" s="2" t="s">
        <v>0</v>
      </c>
      <c r="C13" s="2" t="s">
        <v>1</v>
      </c>
      <c r="D13" s="2" t="s">
        <v>2</v>
      </c>
      <c r="E13" s="2" t="s">
        <v>9</v>
      </c>
      <c r="F13" s="4">
        <v>44195</v>
      </c>
      <c r="G13" s="2" t="s">
        <v>10</v>
      </c>
      <c r="H13" s="5">
        <v>64067.82</v>
      </c>
      <c r="I13" s="6">
        <f>IF(U13 = 3, H13 + SUM(#REF!) - SUM(#REF!) - SUM(P13:P18) - S13,0)</f>
        <v>0</v>
      </c>
      <c r="J13" s="3" t="s">
        <v>11</v>
      </c>
      <c r="K13" s="3" t="s">
        <v>12</v>
      </c>
      <c r="L13" s="2" t="s">
        <v>1</v>
      </c>
      <c r="M13" s="2" t="s">
        <v>7</v>
      </c>
      <c r="N13" s="13">
        <v>44227</v>
      </c>
      <c r="O13" s="4" t="s">
        <v>8</v>
      </c>
      <c r="P13" s="11">
        <v>10677.97</v>
      </c>
      <c r="Q13" s="9">
        <v>44236</v>
      </c>
    </row>
    <row r="14" spans="1:17" x14ac:dyDescent="0.3">
      <c r="A14" s="1"/>
      <c r="B14" s="2"/>
      <c r="C14" s="2"/>
      <c r="D14" s="2"/>
      <c r="E14" s="2"/>
      <c r="F14" s="4"/>
      <c r="G14" s="2"/>
      <c r="H14" s="5"/>
      <c r="I14" s="6"/>
      <c r="J14" s="3"/>
      <c r="K14" s="3"/>
      <c r="L14" s="2"/>
      <c r="M14" s="2"/>
      <c r="N14" s="7">
        <v>44255</v>
      </c>
      <c r="O14" s="4"/>
      <c r="P14" s="11">
        <v>10677.97</v>
      </c>
      <c r="Q14" s="9">
        <v>44265</v>
      </c>
    </row>
    <row r="15" spans="1:17" x14ac:dyDescent="0.3">
      <c r="A15" s="1"/>
      <c r="B15" s="2"/>
      <c r="C15" s="2"/>
      <c r="D15" s="2"/>
      <c r="E15" s="2"/>
      <c r="F15" s="4"/>
      <c r="G15" s="2"/>
      <c r="H15" s="5"/>
      <c r="I15" s="6"/>
      <c r="J15" s="3"/>
      <c r="K15" s="3"/>
      <c r="L15" s="2"/>
      <c r="M15" s="2"/>
      <c r="N15" s="7">
        <v>44286</v>
      </c>
      <c r="O15" s="4"/>
      <c r="P15" s="11">
        <v>10677.97</v>
      </c>
      <c r="Q15" s="9">
        <v>44293</v>
      </c>
    </row>
    <row r="16" spans="1:17" x14ac:dyDescent="0.3">
      <c r="A16" s="1"/>
      <c r="B16" s="2"/>
      <c r="C16" s="2"/>
      <c r="D16" s="2"/>
      <c r="E16" s="2"/>
      <c r="F16" s="4"/>
      <c r="G16" s="2"/>
      <c r="H16" s="5"/>
      <c r="I16" s="6"/>
      <c r="J16" s="3"/>
      <c r="K16" s="3"/>
      <c r="L16" s="2"/>
      <c r="M16" s="2"/>
      <c r="N16" s="7">
        <v>44316</v>
      </c>
      <c r="O16" s="4"/>
      <c r="P16" s="11">
        <v>10677.97</v>
      </c>
      <c r="Q16" s="9">
        <v>44333</v>
      </c>
    </row>
    <row r="17" spans="1:17" x14ac:dyDescent="0.3">
      <c r="A17" s="1"/>
      <c r="B17" s="2"/>
      <c r="C17" s="2"/>
      <c r="D17" s="2"/>
      <c r="E17" s="2"/>
      <c r="F17" s="4"/>
      <c r="G17" s="2"/>
      <c r="H17" s="5"/>
      <c r="I17" s="6"/>
      <c r="J17" s="3"/>
      <c r="K17" s="3"/>
      <c r="L17" s="2"/>
      <c r="M17" s="2"/>
      <c r="N17" s="7">
        <v>44347</v>
      </c>
      <c r="O17" s="4"/>
      <c r="P17" s="11">
        <v>10677.97</v>
      </c>
      <c r="Q17" s="9">
        <v>44357</v>
      </c>
    </row>
    <row r="18" spans="1:17" x14ac:dyDescent="0.3">
      <c r="A18" s="1"/>
      <c r="B18" s="2"/>
      <c r="C18" s="2"/>
      <c r="D18" s="2"/>
      <c r="E18" s="2"/>
      <c r="F18" s="4"/>
      <c r="G18" s="2"/>
      <c r="H18" s="5"/>
      <c r="I18" s="6"/>
      <c r="J18" s="3"/>
      <c r="K18" s="3"/>
      <c r="L18" s="2"/>
      <c r="M18" s="2"/>
      <c r="N18" s="7">
        <v>44377</v>
      </c>
      <c r="O18" s="4"/>
      <c r="P18" s="11">
        <v>10677.97</v>
      </c>
      <c r="Q18" s="9">
        <v>44386</v>
      </c>
    </row>
    <row r="19" spans="1:17" x14ac:dyDescent="0.3">
      <c r="A19" s="1">
        <v>3</v>
      </c>
      <c r="B19" s="2" t="s">
        <v>0</v>
      </c>
      <c r="C19" s="2" t="s">
        <v>1</v>
      </c>
      <c r="D19" s="2" t="s">
        <v>2</v>
      </c>
      <c r="E19" s="3" t="s">
        <v>13</v>
      </c>
      <c r="F19" s="14">
        <v>44195</v>
      </c>
      <c r="G19" s="2" t="s">
        <v>14</v>
      </c>
      <c r="H19" s="15">
        <v>1100</v>
      </c>
      <c r="I19" s="6">
        <f>IF(U19 = 4, H19 + SUM(#REF!) - SUM(#REF!) - SUM(P19:P25) - S19,0)</f>
        <v>0</v>
      </c>
      <c r="J19" s="3" t="s">
        <v>11</v>
      </c>
      <c r="K19" s="3" t="s">
        <v>12</v>
      </c>
      <c r="L19" s="2" t="s">
        <v>1</v>
      </c>
      <c r="M19" s="2" t="s">
        <v>7</v>
      </c>
      <c r="N19" s="7">
        <v>44255</v>
      </c>
      <c r="O19" s="4" t="s">
        <v>8</v>
      </c>
      <c r="P19" s="16">
        <v>167.57</v>
      </c>
      <c r="Q19" s="17">
        <v>44265</v>
      </c>
    </row>
    <row r="20" spans="1:17" x14ac:dyDescent="0.3">
      <c r="A20" s="1"/>
      <c r="B20" s="2"/>
      <c r="C20" s="2"/>
      <c r="D20" s="2"/>
      <c r="E20" s="3"/>
      <c r="F20" s="14"/>
      <c r="G20" s="2"/>
      <c r="H20" s="15"/>
      <c r="I20" s="6"/>
      <c r="J20" s="3"/>
      <c r="K20" s="3"/>
      <c r="L20" s="2"/>
      <c r="M20" s="2"/>
      <c r="N20" s="7">
        <v>44286</v>
      </c>
      <c r="O20" s="4"/>
      <c r="P20" s="11">
        <v>97.3</v>
      </c>
      <c r="Q20" s="9">
        <v>44293</v>
      </c>
    </row>
    <row r="21" spans="1:17" x14ac:dyDescent="0.3">
      <c r="A21" s="1"/>
      <c r="B21" s="2"/>
      <c r="C21" s="2"/>
      <c r="D21" s="2"/>
      <c r="E21" s="3"/>
      <c r="F21" s="14"/>
      <c r="G21" s="2"/>
      <c r="H21" s="15"/>
      <c r="I21" s="6"/>
      <c r="J21" s="3"/>
      <c r="K21" s="3"/>
      <c r="L21" s="2"/>
      <c r="M21" s="2"/>
      <c r="N21" s="7">
        <v>44316</v>
      </c>
      <c r="O21" s="4"/>
      <c r="P21" s="11">
        <v>81.099999999999994</v>
      </c>
      <c r="Q21" s="9">
        <v>44333</v>
      </c>
    </row>
    <row r="22" spans="1:17" x14ac:dyDescent="0.3">
      <c r="A22" s="1"/>
      <c r="B22" s="2"/>
      <c r="C22" s="2"/>
      <c r="D22" s="2"/>
      <c r="E22" s="3"/>
      <c r="F22" s="14"/>
      <c r="G22" s="2"/>
      <c r="H22" s="15"/>
      <c r="I22" s="6"/>
      <c r="J22" s="3"/>
      <c r="K22" s="3"/>
      <c r="L22" s="2"/>
      <c r="M22" s="2"/>
      <c r="N22" s="7">
        <v>44347</v>
      </c>
      <c r="O22" s="4"/>
      <c r="P22" s="11">
        <v>26.52</v>
      </c>
      <c r="Q22" s="9">
        <v>44357</v>
      </c>
    </row>
    <row r="23" spans="1:17" x14ac:dyDescent="0.3">
      <c r="A23" s="1"/>
      <c r="B23" s="2"/>
      <c r="C23" s="2"/>
      <c r="D23" s="2"/>
      <c r="E23" s="3"/>
      <c r="F23" s="14"/>
      <c r="G23" s="2"/>
      <c r="H23" s="15"/>
      <c r="I23" s="6"/>
      <c r="J23" s="3"/>
      <c r="K23" s="3"/>
      <c r="L23" s="2"/>
      <c r="M23" s="2"/>
      <c r="N23" s="7">
        <v>44377</v>
      </c>
      <c r="O23" s="4"/>
      <c r="P23" s="11">
        <v>20.74</v>
      </c>
      <c r="Q23" s="9">
        <v>44386</v>
      </c>
    </row>
    <row r="24" spans="1:17" x14ac:dyDescent="0.3">
      <c r="A24" s="1"/>
      <c r="B24" s="2"/>
      <c r="C24" s="2"/>
      <c r="D24" s="2"/>
      <c r="E24" s="3"/>
      <c r="F24" s="14"/>
      <c r="G24" s="2"/>
      <c r="H24" s="15"/>
      <c r="I24" s="6"/>
      <c r="J24" s="3"/>
      <c r="K24" s="3"/>
      <c r="L24" s="2"/>
      <c r="M24" s="2"/>
      <c r="N24" s="7">
        <v>44408</v>
      </c>
      <c r="O24" s="4"/>
      <c r="P24" s="11">
        <v>16.7</v>
      </c>
      <c r="Q24" s="9">
        <v>44414</v>
      </c>
    </row>
    <row r="25" spans="1:17" x14ac:dyDescent="0.3">
      <c r="A25" s="1"/>
      <c r="B25" s="2"/>
      <c r="C25" s="2"/>
      <c r="D25" s="2"/>
      <c r="E25" s="3"/>
      <c r="F25" s="14"/>
      <c r="G25" s="2"/>
      <c r="H25" s="15"/>
      <c r="I25" s="6"/>
      <c r="J25" s="3"/>
      <c r="K25" s="3"/>
      <c r="L25" s="2"/>
      <c r="M25" s="2"/>
      <c r="N25" s="7">
        <v>44469</v>
      </c>
      <c r="O25" s="4"/>
      <c r="P25" s="11">
        <v>161.47</v>
      </c>
      <c r="Q25" s="9">
        <v>44474</v>
      </c>
    </row>
    <row r="26" spans="1:17" x14ac:dyDescent="0.3">
      <c r="A26" s="1">
        <v>4</v>
      </c>
      <c r="B26" s="2" t="s">
        <v>0</v>
      </c>
      <c r="C26" s="2" t="s">
        <v>1</v>
      </c>
      <c r="D26" s="2" t="s">
        <v>2</v>
      </c>
      <c r="E26" s="2" t="s">
        <v>15</v>
      </c>
      <c r="F26" s="4">
        <v>44195</v>
      </c>
      <c r="G26" s="2" t="s">
        <v>14</v>
      </c>
      <c r="H26" s="5">
        <v>20000</v>
      </c>
      <c r="I26" s="6">
        <f>IF(U26 = 8, H26 + SUM(#REF!) - SUM(#REF!) - SUM(P26:P34) - S26,0)</f>
        <v>0</v>
      </c>
      <c r="J26" s="2" t="s">
        <v>11</v>
      </c>
      <c r="K26" s="2" t="s">
        <v>12</v>
      </c>
      <c r="L26" s="2" t="s">
        <v>1</v>
      </c>
      <c r="M26" s="2" t="s">
        <v>7</v>
      </c>
      <c r="N26" s="13">
        <v>44227</v>
      </c>
      <c r="O26" s="4" t="s">
        <v>8</v>
      </c>
      <c r="P26" s="16">
        <v>1500.77</v>
      </c>
      <c r="Q26" s="17">
        <v>44236</v>
      </c>
    </row>
    <row r="27" spans="1:17" x14ac:dyDescent="0.3">
      <c r="A27" s="1"/>
      <c r="B27" s="2"/>
      <c r="C27" s="2"/>
      <c r="D27" s="2"/>
      <c r="E27" s="2"/>
      <c r="F27" s="4"/>
      <c r="G27" s="2"/>
      <c r="H27" s="5"/>
      <c r="I27" s="6"/>
      <c r="J27" s="2"/>
      <c r="K27" s="2"/>
      <c r="L27" s="2"/>
      <c r="M27" s="2"/>
      <c r="N27" s="7">
        <v>44255</v>
      </c>
      <c r="O27" s="4"/>
      <c r="P27" s="16">
        <v>1442.69</v>
      </c>
      <c r="Q27" s="17">
        <v>44265</v>
      </c>
    </row>
    <row r="28" spans="1:17" x14ac:dyDescent="0.3">
      <c r="A28" s="1"/>
      <c r="B28" s="2"/>
      <c r="C28" s="2"/>
      <c r="D28" s="2"/>
      <c r="E28" s="2"/>
      <c r="F28" s="4"/>
      <c r="G28" s="2"/>
      <c r="H28" s="5"/>
      <c r="I28" s="6"/>
      <c r="J28" s="2"/>
      <c r="K28" s="2"/>
      <c r="L28" s="2"/>
      <c r="M28" s="2"/>
      <c r="N28" s="7">
        <v>44286</v>
      </c>
      <c r="O28" s="4"/>
      <c r="P28" s="11">
        <v>1415.23</v>
      </c>
      <c r="Q28" s="9">
        <v>44293</v>
      </c>
    </row>
    <row r="29" spans="1:17" x14ac:dyDescent="0.3">
      <c r="A29" s="1"/>
      <c r="B29" s="2"/>
      <c r="C29" s="2"/>
      <c r="D29" s="2"/>
      <c r="E29" s="2"/>
      <c r="F29" s="4"/>
      <c r="G29" s="2"/>
      <c r="H29" s="5"/>
      <c r="I29" s="6"/>
      <c r="J29" s="2"/>
      <c r="K29" s="2"/>
      <c r="L29" s="2"/>
      <c r="M29" s="2"/>
      <c r="N29" s="7">
        <v>44316</v>
      </c>
      <c r="O29" s="4"/>
      <c r="P29" s="11">
        <v>1538.52</v>
      </c>
      <c r="Q29" s="9">
        <v>44333</v>
      </c>
    </row>
    <row r="30" spans="1:17" x14ac:dyDescent="0.3">
      <c r="A30" s="1"/>
      <c r="B30" s="2"/>
      <c r="C30" s="2"/>
      <c r="D30" s="2"/>
      <c r="E30" s="2"/>
      <c r="F30" s="4"/>
      <c r="G30" s="2"/>
      <c r="H30" s="5"/>
      <c r="I30" s="6"/>
      <c r="J30" s="2"/>
      <c r="K30" s="2"/>
      <c r="L30" s="2"/>
      <c r="M30" s="2"/>
      <c r="N30" s="7">
        <v>44347</v>
      </c>
      <c r="O30" s="4"/>
      <c r="P30" s="11">
        <v>1389.67</v>
      </c>
      <c r="Q30" s="9">
        <v>44357</v>
      </c>
    </row>
    <row r="31" spans="1:17" x14ac:dyDescent="0.3">
      <c r="A31" s="1"/>
      <c r="B31" s="2"/>
      <c r="C31" s="2"/>
      <c r="D31" s="2"/>
      <c r="E31" s="2"/>
      <c r="F31" s="4"/>
      <c r="G31" s="2"/>
      <c r="H31" s="5"/>
      <c r="I31" s="6"/>
      <c r="J31" s="2"/>
      <c r="K31" s="2"/>
      <c r="L31" s="2"/>
      <c r="M31" s="2"/>
      <c r="N31" s="7">
        <v>44377</v>
      </c>
      <c r="O31" s="4"/>
      <c r="P31" s="11">
        <v>1350.48</v>
      </c>
      <c r="Q31" s="9">
        <v>44386</v>
      </c>
    </row>
    <row r="32" spans="1:17" x14ac:dyDescent="0.3">
      <c r="A32" s="1"/>
      <c r="B32" s="2"/>
      <c r="C32" s="2"/>
      <c r="D32" s="2"/>
      <c r="E32" s="2"/>
      <c r="F32" s="4"/>
      <c r="G32" s="2"/>
      <c r="H32" s="5"/>
      <c r="I32" s="6"/>
      <c r="J32" s="2"/>
      <c r="K32" s="2"/>
      <c r="L32" s="2"/>
      <c r="M32" s="2"/>
      <c r="N32" s="7">
        <v>44408</v>
      </c>
      <c r="O32" s="4"/>
      <c r="P32" s="11">
        <v>1293.5899999999999</v>
      </c>
      <c r="Q32" s="9">
        <v>44414</v>
      </c>
    </row>
    <row r="33" spans="1:17" x14ac:dyDescent="0.3">
      <c r="A33" s="1"/>
      <c r="B33" s="2"/>
      <c r="C33" s="2"/>
      <c r="D33" s="2"/>
      <c r="E33" s="2"/>
      <c r="F33" s="4"/>
      <c r="G33" s="2"/>
      <c r="H33" s="5"/>
      <c r="I33" s="6"/>
      <c r="J33" s="2"/>
      <c r="K33" s="2"/>
      <c r="L33" s="2"/>
      <c r="M33" s="2"/>
      <c r="N33" s="7">
        <v>44439</v>
      </c>
      <c r="O33" s="4"/>
      <c r="P33" s="11">
        <v>1448.48</v>
      </c>
      <c r="Q33" s="9">
        <v>44460</v>
      </c>
    </row>
    <row r="34" spans="1:17" x14ac:dyDescent="0.3">
      <c r="A34" s="1"/>
      <c r="B34" s="2"/>
      <c r="C34" s="2"/>
      <c r="D34" s="2"/>
      <c r="E34" s="2"/>
      <c r="F34" s="4"/>
      <c r="G34" s="2"/>
      <c r="H34" s="5"/>
      <c r="I34" s="6"/>
      <c r="J34" s="2"/>
      <c r="K34" s="2"/>
      <c r="L34" s="2"/>
      <c r="M34" s="2"/>
      <c r="N34" s="7">
        <v>44469</v>
      </c>
      <c r="O34" s="4"/>
      <c r="P34" s="11">
        <v>1472.92</v>
      </c>
      <c r="Q34" s="9">
        <v>44474</v>
      </c>
    </row>
    <row r="35" spans="1:17" x14ac:dyDescent="0.3">
      <c r="A35" s="1">
        <v>5</v>
      </c>
      <c r="B35" s="2" t="s">
        <v>0</v>
      </c>
      <c r="C35" s="2" t="s">
        <v>1</v>
      </c>
      <c r="D35" s="2" t="s">
        <v>2</v>
      </c>
      <c r="E35" s="2" t="s">
        <v>16</v>
      </c>
      <c r="F35" s="4">
        <v>44195</v>
      </c>
      <c r="G35" s="2" t="s">
        <v>17</v>
      </c>
      <c r="H35" s="5">
        <v>27360</v>
      </c>
      <c r="I35" s="6">
        <f>IF(U35 = 9, H35 + SUM(#REF!) - SUM(#REF!) - SUM(P35:P40) - S35,0)</f>
        <v>0</v>
      </c>
      <c r="J35" s="2" t="s">
        <v>11</v>
      </c>
      <c r="K35" s="2" t="s">
        <v>12</v>
      </c>
      <c r="L35" s="2" t="s">
        <v>1</v>
      </c>
      <c r="M35" s="2" t="s">
        <v>7</v>
      </c>
      <c r="N35" s="13">
        <v>44227</v>
      </c>
      <c r="O35" s="4" t="s">
        <v>8</v>
      </c>
      <c r="P35" s="16">
        <v>2280</v>
      </c>
      <c r="Q35" s="17">
        <v>44236</v>
      </c>
    </row>
    <row r="36" spans="1:17" x14ac:dyDescent="0.3">
      <c r="A36" s="1"/>
      <c r="B36" s="2"/>
      <c r="C36" s="2"/>
      <c r="D36" s="2"/>
      <c r="E36" s="2"/>
      <c r="F36" s="4"/>
      <c r="G36" s="2"/>
      <c r="H36" s="5"/>
      <c r="I36" s="6"/>
      <c r="J36" s="2"/>
      <c r="K36" s="2"/>
      <c r="L36" s="2"/>
      <c r="M36" s="2"/>
      <c r="N36" s="7">
        <v>44255</v>
      </c>
      <c r="O36" s="4"/>
      <c r="P36" s="16">
        <v>2280</v>
      </c>
      <c r="Q36" s="17">
        <v>44265</v>
      </c>
    </row>
    <row r="37" spans="1:17" x14ac:dyDescent="0.3">
      <c r="A37" s="1"/>
      <c r="B37" s="2"/>
      <c r="C37" s="2"/>
      <c r="D37" s="2"/>
      <c r="E37" s="2"/>
      <c r="F37" s="4"/>
      <c r="G37" s="2"/>
      <c r="H37" s="5"/>
      <c r="I37" s="6"/>
      <c r="J37" s="2"/>
      <c r="K37" s="2"/>
      <c r="L37" s="2"/>
      <c r="M37" s="2"/>
      <c r="N37" s="7">
        <v>44286</v>
      </c>
      <c r="O37" s="4"/>
      <c r="P37" s="11">
        <v>2280</v>
      </c>
      <c r="Q37" s="9">
        <v>44293</v>
      </c>
    </row>
    <row r="38" spans="1:17" x14ac:dyDescent="0.3">
      <c r="A38" s="1"/>
      <c r="B38" s="2"/>
      <c r="C38" s="2"/>
      <c r="D38" s="2"/>
      <c r="E38" s="2"/>
      <c r="F38" s="4"/>
      <c r="G38" s="2"/>
      <c r="H38" s="5"/>
      <c r="I38" s="6"/>
      <c r="J38" s="2"/>
      <c r="K38" s="2"/>
      <c r="L38" s="2"/>
      <c r="M38" s="2"/>
      <c r="N38" s="7">
        <v>44316</v>
      </c>
      <c r="O38" s="4"/>
      <c r="P38" s="11">
        <v>2280</v>
      </c>
      <c r="Q38" s="9">
        <v>44333</v>
      </c>
    </row>
    <row r="39" spans="1:17" x14ac:dyDescent="0.3">
      <c r="A39" s="1"/>
      <c r="B39" s="2"/>
      <c r="C39" s="2"/>
      <c r="D39" s="2"/>
      <c r="E39" s="2"/>
      <c r="F39" s="4"/>
      <c r="G39" s="2"/>
      <c r="H39" s="5"/>
      <c r="I39" s="6"/>
      <c r="J39" s="2"/>
      <c r="K39" s="2"/>
      <c r="L39" s="2"/>
      <c r="M39" s="2"/>
      <c r="N39" s="7">
        <v>44347</v>
      </c>
      <c r="O39" s="4"/>
      <c r="P39" s="11">
        <v>2280</v>
      </c>
      <c r="Q39" s="9">
        <v>44357</v>
      </c>
    </row>
    <row r="40" spans="1:17" x14ac:dyDescent="0.3">
      <c r="A40" s="1"/>
      <c r="B40" s="2"/>
      <c r="C40" s="2"/>
      <c r="D40" s="2"/>
      <c r="E40" s="2"/>
      <c r="F40" s="4"/>
      <c r="G40" s="2"/>
      <c r="H40" s="5"/>
      <c r="I40" s="6"/>
      <c r="J40" s="2"/>
      <c r="K40" s="2"/>
      <c r="L40" s="2"/>
      <c r="M40" s="2"/>
      <c r="N40" s="7">
        <v>44377</v>
      </c>
      <c r="O40" s="4"/>
      <c r="P40" s="11">
        <v>2280</v>
      </c>
      <c r="Q40" s="9">
        <v>44386</v>
      </c>
    </row>
    <row r="41" spans="1:17" x14ac:dyDescent="0.3">
      <c r="A41" s="1">
        <v>6</v>
      </c>
      <c r="B41" s="2" t="s">
        <v>0</v>
      </c>
      <c r="C41" s="2" t="s">
        <v>1</v>
      </c>
      <c r="D41" s="2" t="s">
        <v>2</v>
      </c>
      <c r="E41" s="2" t="s">
        <v>18</v>
      </c>
      <c r="F41" s="4">
        <v>44195</v>
      </c>
      <c r="G41" s="2" t="s">
        <v>19</v>
      </c>
      <c r="H41" s="5">
        <v>11200</v>
      </c>
      <c r="I41" s="6">
        <f>IF(U41 = 10, H41 + SUM(#REF!) - SUM(#REF!) - SUM(P41:P44) - S41,0)</f>
        <v>0</v>
      </c>
      <c r="J41" s="18" t="s">
        <v>20</v>
      </c>
      <c r="K41" s="18" t="s">
        <v>21</v>
      </c>
      <c r="L41" s="2" t="s">
        <v>1</v>
      </c>
      <c r="M41" s="2" t="s">
        <v>22</v>
      </c>
      <c r="N41" s="19">
        <v>44222</v>
      </c>
      <c r="O41" s="4" t="s">
        <v>8</v>
      </c>
      <c r="P41" s="16">
        <v>1600</v>
      </c>
      <c r="Q41" s="17">
        <v>44231</v>
      </c>
    </row>
    <row r="42" spans="1:17" x14ac:dyDescent="0.3">
      <c r="A42" s="1"/>
      <c r="B42" s="2"/>
      <c r="C42" s="2"/>
      <c r="D42" s="2"/>
      <c r="E42" s="2"/>
      <c r="F42" s="4"/>
      <c r="G42" s="2"/>
      <c r="H42" s="5"/>
      <c r="I42" s="6"/>
      <c r="J42" s="18"/>
      <c r="K42" s="18"/>
      <c r="L42" s="2"/>
      <c r="M42" s="2"/>
      <c r="N42" s="19">
        <v>44252</v>
      </c>
      <c r="O42" s="4"/>
      <c r="P42" s="16">
        <v>1600</v>
      </c>
      <c r="Q42" s="17">
        <v>44265</v>
      </c>
    </row>
    <row r="43" spans="1:17" x14ac:dyDescent="0.3">
      <c r="A43" s="1"/>
      <c r="B43" s="2"/>
      <c r="C43" s="2"/>
      <c r="D43" s="2"/>
      <c r="E43" s="2"/>
      <c r="F43" s="4"/>
      <c r="G43" s="2"/>
      <c r="H43" s="5"/>
      <c r="I43" s="6"/>
      <c r="J43" s="18"/>
      <c r="K43" s="18"/>
      <c r="L43" s="2"/>
      <c r="M43" s="2"/>
      <c r="N43" s="7">
        <v>44279</v>
      </c>
      <c r="O43" s="4"/>
      <c r="P43" s="11">
        <v>1600</v>
      </c>
      <c r="Q43" s="9">
        <v>44299</v>
      </c>
    </row>
    <row r="44" spans="1:17" ht="25.8" customHeight="1" x14ac:dyDescent="0.3">
      <c r="A44" s="1"/>
      <c r="B44" s="2"/>
      <c r="C44" s="2"/>
      <c r="D44" s="2"/>
      <c r="E44" s="2"/>
      <c r="F44" s="4"/>
      <c r="G44" s="2"/>
      <c r="H44" s="5"/>
      <c r="I44" s="6"/>
      <c r="J44" s="18"/>
      <c r="K44" s="18"/>
      <c r="L44" s="2"/>
      <c r="M44" s="2"/>
      <c r="N44" s="7">
        <v>44312</v>
      </c>
      <c r="O44" s="4"/>
      <c r="P44" s="11">
        <v>1600</v>
      </c>
      <c r="Q44" s="9">
        <v>44341</v>
      </c>
    </row>
    <row r="45" spans="1:17" x14ac:dyDescent="0.3">
      <c r="A45" s="1">
        <v>7</v>
      </c>
      <c r="B45" s="2" t="s">
        <v>0</v>
      </c>
      <c r="C45" s="2" t="s">
        <v>1</v>
      </c>
      <c r="D45" s="2" t="s">
        <v>2</v>
      </c>
      <c r="E45" s="2" t="s">
        <v>23</v>
      </c>
      <c r="F45" s="4">
        <v>44196</v>
      </c>
      <c r="G45" s="2" t="s">
        <v>24</v>
      </c>
      <c r="H45" s="5">
        <v>11998.48</v>
      </c>
      <c r="I45" s="6">
        <f>IF(U45 = 11, H45 + SUM(#REF!) - SUM(#REF!) - SUM(P45:P47) - S45,0)</f>
        <v>0</v>
      </c>
      <c r="J45" s="2" t="s">
        <v>25</v>
      </c>
      <c r="K45" s="2" t="s">
        <v>26</v>
      </c>
      <c r="L45" s="2" t="s">
        <v>6</v>
      </c>
      <c r="M45" s="2" t="s">
        <v>27</v>
      </c>
      <c r="N45" s="13">
        <v>44280</v>
      </c>
      <c r="O45" s="4" t="s">
        <v>8</v>
      </c>
      <c r="P45" s="8">
        <v>2999.62</v>
      </c>
      <c r="Q45" s="20">
        <v>44299</v>
      </c>
    </row>
    <row r="46" spans="1:17" x14ac:dyDescent="0.3">
      <c r="A46" s="1"/>
      <c r="B46" s="2"/>
      <c r="C46" s="2"/>
      <c r="D46" s="2"/>
      <c r="E46" s="2"/>
      <c r="F46" s="4"/>
      <c r="G46" s="2"/>
      <c r="H46" s="5"/>
      <c r="I46" s="6"/>
      <c r="J46" s="2"/>
      <c r="K46" s="2"/>
      <c r="L46" s="2"/>
      <c r="M46" s="2"/>
      <c r="N46" s="7">
        <v>44377</v>
      </c>
      <c r="O46" s="4"/>
      <c r="P46" s="11">
        <v>2999.62</v>
      </c>
      <c r="Q46" s="9">
        <v>44377</v>
      </c>
    </row>
    <row r="47" spans="1:17" ht="52.2" customHeight="1" x14ac:dyDescent="0.3">
      <c r="A47" s="1"/>
      <c r="B47" s="2"/>
      <c r="C47" s="2"/>
      <c r="D47" s="2"/>
      <c r="E47" s="2"/>
      <c r="F47" s="4"/>
      <c r="G47" s="2"/>
      <c r="H47" s="5"/>
      <c r="I47" s="6"/>
      <c r="J47" s="2"/>
      <c r="K47" s="2"/>
      <c r="L47" s="2"/>
      <c r="M47" s="2"/>
      <c r="N47" s="7">
        <v>44459</v>
      </c>
      <c r="O47" s="4"/>
      <c r="P47" s="11">
        <v>2999.62</v>
      </c>
      <c r="Q47" s="9">
        <v>44474</v>
      </c>
    </row>
    <row r="48" spans="1:17" x14ac:dyDescent="0.3">
      <c r="A48" s="1">
        <v>8</v>
      </c>
      <c r="B48" s="2" t="s">
        <v>0</v>
      </c>
      <c r="C48" s="2" t="s">
        <v>1</v>
      </c>
      <c r="D48" s="2" t="s">
        <v>2</v>
      </c>
      <c r="E48" s="2" t="s">
        <v>28</v>
      </c>
      <c r="F48" s="4">
        <v>44195</v>
      </c>
      <c r="G48" s="2" t="s">
        <v>29</v>
      </c>
      <c r="H48" s="5">
        <v>7200</v>
      </c>
      <c r="I48" s="6">
        <f>IF(U48 = 12, H48 + SUM(#REF!) - SUM(#REF!) - SUM(P48:P50) - S48,0)</f>
        <v>0</v>
      </c>
      <c r="J48" s="18" t="s">
        <v>30</v>
      </c>
      <c r="K48" s="18" t="s">
        <v>31</v>
      </c>
      <c r="L48" s="2" t="s">
        <v>6</v>
      </c>
      <c r="M48" s="2" t="s">
        <v>27</v>
      </c>
      <c r="N48" s="13">
        <v>44286</v>
      </c>
      <c r="O48" s="4" t="s">
        <v>8</v>
      </c>
      <c r="P48" s="8">
        <v>1800</v>
      </c>
      <c r="Q48" s="20">
        <v>44292</v>
      </c>
    </row>
    <row r="49" spans="1:17" x14ac:dyDescent="0.3">
      <c r="A49" s="1"/>
      <c r="B49" s="2"/>
      <c r="C49" s="2"/>
      <c r="D49" s="2"/>
      <c r="E49" s="2"/>
      <c r="F49" s="4"/>
      <c r="G49" s="2"/>
      <c r="H49" s="5"/>
      <c r="I49" s="6"/>
      <c r="J49" s="18"/>
      <c r="K49" s="18"/>
      <c r="L49" s="2"/>
      <c r="M49" s="2"/>
      <c r="N49" s="7">
        <v>44377</v>
      </c>
      <c r="O49" s="4"/>
      <c r="P49" s="11">
        <v>1800</v>
      </c>
      <c r="Q49" s="9">
        <v>44377</v>
      </c>
    </row>
    <row r="50" spans="1:17" ht="40.799999999999997" customHeight="1" x14ac:dyDescent="0.3">
      <c r="A50" s="1"/>
      <c r="B50" s="2"/>
      <c r="C50" s="2"/>
      <c r="D50" s="2"/>
      <c r="E50" s="2"/>
      <c r="F50" s="4"/>
      <c r="G50" s="2"/>
      <c r="H50" s="5"/>
      <c r="I50" s="6"/>
      <c r="J50" s="18"/>
      <c r="K50" s="18"/>
      <c r="L50" s="2"/>
      <c r="M50" s="2"/>
      <c r="N50" s="7">
        <v>44469</v>
      </c>
      <c r="O50" s="4"/>
      <c r="P50" s="11">
        <v>1800</v>
      </c>
      <c r="Q50" s="9">
        <v>44469</v>
      </c>
    </row>
    <row r="51" spans="1:17" x14ac:dyDescent="0.3">
      <c r="A51" s="1">
        <v>9</v>
      </c>
      <c r="B51" s="2" t="s">
        <v>0</v>
      </c>
      <c r="C51" s="2" t="s">
        <v>1</v>
      </c>
      <c r="D51" s="2" t="s">
        <v>2</v>
      </c>
      <c r="E51" s="2" t="s">
        <v>32</v>
      </c>
      <c r="F51" s="4">
        <v>44195</v>
      </c>
      <c r="G51" s="2" t="s">
        <v>33</v>
      </c>
      <c r="H51" s="5">
        <v>24000</v>
      </c>
      <c r="I51" s="6">
        <f>IF(U51 = 13, H51 + SUM(#REF!) - SUM(#REF!) - SUM(P51:P59) - S51,0)</f>
        <v>0</v>
      </c>
      <c r="J51" s="18" t="s">
        <v>34</v>
      </c>
      <c r="K51" s="18" t="s">
        <v>35</v>
      </c>
      <c r="L51" s="2" t="s">
        <v>6</v>
      </c>
      <c r="M51" s="2" t="s">
        <v>7</v>
      </c>
      <c r="N51" s="13">
        <v>44217</v>
      </c>
      <c r="O51" s="4" t="s">
        <v>8</v>
      </c>
      <c r="P51" s="16">
        <v>2000</v>
      </c>
      <c r="Q51" s="17">
        <v>44231</v>
      </c>
    </row>
    <row r="52" spans="1:17" x14ac:dyDescent="0.3">
      <c r="A52" s="1"/>
      <c r="B52" s="2"/>
      <c r="C52" s="2"/>
      <c r="D52" s="2"/>
      <c r="E52" s="2"/>
      <c r="F52" s="4"/>
      <c r="G52" s="2"/>
      <c r="H52" s="5"/>
      <c r="I52" s="6"/>
      <c r="J52" s="18"/>
      <c r="K52" s="18"/>
      <c r="L52" s="2"/>
      <c r="M52" s="2"/>
      <c r="N52" s="7">
        <v>44251</v>
      </c>
      <c r="O52" s="4"/>
      <c r="P52" s="16">
        <v>2000</v>
      </c>
      <c r="Q52" s="17">
        <v>44265</v>
      </c>
    </row>
    <row r="53" spans="1:17" x14ac:dyDescent="0.3">
      <c r="A53" s="1"/>
      <c r="B53" s="2"/>
      <c r="C53" s="2"/>
      <c r="D53" s="2"/>
      <c r="E53" s="2"/>
      <c r="F53" s="4"/>
      <c r="G53" s="2"/>
      <c r="H53" s="5"/>
      <c r="I53" s="6"/>
      <c r="J53" s="18"/>
      <c r="K53" s="18"/>
      <c r="L53" s="2"/>
      <c r="M53" s="2"/>
      <c r="N53" s="7">
        <v>44277</v>
      </c>
      <c r="O53" s="4"/>
      <c r="P53" s="11">
        <v>2000</v>
      </c>
      <c r="Q53" s="9">
        <v>44299</v>
      </c>
    </row>
    <row r="54" spans="1:17" x14ac:dyDescent="0.3">
      <c r="A54" s="1"/>
      <c r="B54" s="2"/>
      <c r="C54" s="2"/>
      <c r="D54" s="2"/>
      <c r="E54" s="2"/>
      <c r="F54" s="4"/>
      <c r="G54" s="2"/>
      <c r="H54" s="5"/>
      <c r="I54" s="6"/>
      <c r="J54" s="18"/>
      <c r="K54" s="18"/>
      <c r="L54" s="2"/>
      <c r="M54" s="2"/>
      <c r="N54" s="7">
        <v>44307</v>
      </c>
      <c r="O54" s="4"/>
      <c r="P54" s="11">
        <v>2000</v>
      </c>
      <c r="Q54" s="9">
        <v>44341</v>
      </c>
    </row>
    <row r="55" spans="1:17" x14ac:dyDescent="0.3">
      <c r="A55" s="1"/>
      <c r="B55" s="2"/>
      <c r="C55" s="2"/>
      <c r="D55" s="2"/>
      <c r="E55" s="2"/>
      <c r="F55" s="4"/>
      <c r="G55" s="2"/>
      <c r="H55" s="5"/>
      <c r="I55" s="6"/>
      <c r="J55" s="18"/>
      <c r="K55" s="18"/>
      <c r="L55" s="2"/>
      <c r="M55" s="2"/>
      <c r="N55" s="7">
        <v>44337</v>
      </c>
      <c r="O55" s="4"/>
      <c r="P55" s="11">
        <v>2000</v>
      </c>
      <c r="Q55" s="9">
        <v>44377</v>
      </c>
    </row>
    <row r="56" spans="1:17" x14ac:dyDescent="0.3">
      <c r="A56" s="1"/>
      <c r="B56" s="2"/>
      <c r="C56" s="2"/>
      <c r="D56" s="2"/>
      <c r="E56" s="2"/>
      <c r="F56" s="4"/>
      <c r="G56" s="2"/>
      <c r="H56" s="5"/>
      <c r="I56" s="6"/>
      <c r="J56" s="18"/>
      <c r="K56" s="18"/>
      <c r="L56" s="2"/>
      <c r="M56" s="2"/>
      <c r="N56" s="7">
        <v>44368</v>
      </c>
      <c r="O56" s="4"/>
      <c r="P56" s="11">
        <v>2000</v>
      </c>
      <c r="Q56" s="9">
        <v>44377</v>
      </c>
    </row>
    <row r="57" spans="1:17" x14ac:dyDescent="0.3">
      <c r="A57" s="1"/>
      <c r="B57" s="2"/>
      <c r="C57" s="2"/>
      <c r="D57" s="2"/>
      <c r="E57" s="2"/>
      <c r="F57" s="4"/>
      <c r="G57" s="2"/>
      <c r="H57" s="5"/>
      <c r="I57" s="6"/>
      <c r="J57" s="18"/>
      <c r="K57" s="18"/>
      <c r="L57" s="2"/>
      <c r="M57" s="2"/>
      <c r="N57" s="7">
        <v>44408</v>
      </c>
      <c r="O57" s="4"/>
      <c r="P57" s="11">
        <v>2000</v>
      </c>
      <c r="Q57" s="9">
        <v>44413</v>
      </c>
    </row>
    <row r="58" spans="1:17" x14ac:dyDescent="0.3">
      <c r="A58" s="1"/>
      <c r="B58" s="2"/>
      <c r="C58" s="2"/>
      <c r="D58" s="2"/>
      <c r="E58" s="2"/>
      <c r="F58" s="4"/>
      <c r="G58" s="2"/>
      <c r="H58" s="5"/>
      <c r="I58" s="6"/>
      <c r="J58" s="18"/>
      <c r="K58" s="18"/>
      <c r="L58" s="2"/>
      <c r="M58" s="2"/>
      <c r="N58" s="7">
        <v>44439</v>
      </c>
      <c r="O58" s="4"/>
      <c r="P58" s="11">
        <v>2000</v>
      </c>
      <c r="Q58" s="9">
        <v>44439</v>
      </c>
    </row>
    <row r="59" spans="1:17" x14ac:dyDescent="0.3">
      <c r="A59" s="1"/>
      <c r="B59" s="2"/>
      <c r="C59" s="2"/>
      <c r="D59" s="2"/>
      <c r="E59" s="2"/>
      <c r="F59" s="4"/>
      <c r="G59" s="2"/>
      <c r="H59" s="5"/>
      <c r="I59" s="6"/>
      <c r="J59" s="18"/>
      <c r="K59" s="18"/>
      <c r="L59" s="2"/>
      <c r="M59" s="2"/>
      <c r="N59" s="7">
        <v>44469</v>
      </c>
      <c r="O59" s="4"/>
      <c r="P59" s="11">
        <v>2000</v>
      </c>
      <c r="Q59" s="9">
        <v>44474</v>
      </c>
    </row>
    <row r="60" spans="1:17" x14ac:dyDescent="0.3">
      <c r="A60" s="1">
        <v>10</v>
      </c>
      <c r="B60" s="2" t="s">
        <v>0</v>
      </c>
      <c r="C60" s="2" t="s">
        <v>1</v>
      </c>
      <c r="D60" s="2" t="s">
        <v>2</v>
      </c>
      <c r="E60" s="2" t="s">
        <v>36</v>
      </c>
      <c r="F60" s="4">
        <v>44195</v>
      </c>
      <c r="G60" s="2" t="s">
        <v>37</v>
      </c>
      <c r="H60" s="5">
        <v>27288.84</v>
      </c>
      <c r="I60" s="6">
        <f>IF(U60 = 14, H60 + SUM(#REF!) - SUM(#REF!) - SUM(P60:P69) - S60,0)</f>
        <v>0</v>
      </c>
      <c r="J60" s="18" t="s">
        <v>38</v>
      </c>
      <c r="K60" s="18" t="s">
        <v>39</v>
      </c>
      <c r="L60" s="2" t="s">
        <v>1</v>
      </c>
      <c r="M60" s="2" t="s">
        <v>7</v>
      </c>
      <c r="N60" s="13">
        <v>44236</v>
      </c>
      <c r="O60" s="4" t="s">
        <v>8</v>
      </c>
      <c r="P60" s="11">
        <v>2274.0700000000002</v>
      </c>
      <c r="Q60" s="17">
        <v>44247</v>
      </c>
    </row>
    <row r="61" spans="1:17" x14ac:dyDescent="0.3">
      <c r="A61" s="1"/>
      <c r="B61" s="2"/>
      <c r="C61" s="2"/>
      <c r="D61" s="2"/>
      <c r="E61" s="2"/>
      <c r="F61" s="4"/>
      <c r="G61" s="2"/>
      <c r="H61" s="5"/>
      <c r="I61" s="6"/>
      <c r="J61" s="18"/>
      <c r="K61" s="18"/>
      <c r="L61" s="2"/>
      <c r="M61" s="2"/>
      <c r="N61" s="7">
        <v>44243</v>
      </c>
      <c r="O61" s="4"/>
      <c r="P61" s="16">
        <v>2274.0700000000002</v>
      </c>
      <c r="Q61" s="17">
        <v>44247</v>
      </c>
    </row>
    <row r="62" spans="1:17" x14ac:dyDescent="0.3">
      <c r="A62" s="1"/>
      <c r="B62" s="2"/>
      <c r="C62" s="2"/>
      <c r="D62" s="2"/>
      <c r="E62" s="2"/>
      <c r="F62" s="4"/>
      <c r="G62" s="2"/>
      <c r="H62" s="5"/>
      <c r="I62" s="6"/>
      <c r="J62" s="18"/>
      <c r="K62" s="18"/>
      <c r="L62" s="2"/>
      <c r="M62" s="2"/>
      <c r="N62" s="7">
        <v>44271</v>
      </c>
      <c r="O62" s="4"/>
      <c r="P62" s="11">
        <v>2274.0700000000002</v>
      </c>
      <c r="Q62" s="9">
        <v>44292</v>
      </c>
    </row>
    <row r="63" spans="1:17" x14ac:dyDescent="0.3">
      <c r="A63" s="1"/>
      <c r="B63" s="2"/>
      <c r="C63" s="2"/>
      <c r="D63" s="2"/>
      <c r="E63" s="2"/>
      <c r="F63" s="4"/>
      <c r="G63" s="2"/>
      <c r="H63" s="5"/>
      <c r="I63" s="6"/>
      <c r="J63" s="18"/>
      <c r="K63" s="18"/>
      <c r="L63" s="2"/>
      <c r="M63" s="2"/>
      <c r="N63" s="7">
        <v>44301</v>
      </c>
      <c r="O63" s="4"/>
      <c r="P63" s="11">
        <v>2274.0700000000002</v>
      </c>
      <c r="Q63" s="9">
        <v>44302</v>
      </c>
    </row>
    <row r="64" spans="1:17" x14ac:dyDescent="0.3">
      <c r="A64" s="1"/>
      <c r="B64" s="2"/>
      <c r="C64" s="2"/>
      <c r="D64" s="2"/>
      <c r="E64" s="2"/>
      <c r="F64" s="4"/>
      <c r="G64" s="2"/>
      <c r="H64" s="5"/>
      <c r="I64" s="6"/>
      <c r="J64" s="18"/>
      <c r="K64" s="18"/>
      <c r="L64" s="2"/>
      <c r="M64" s="2"/>
      <c r="N64" s="7">
        <v>44347</v>
      </c>
      <c r="O64" s="4"/>
      <c r="P64" s="11">
        <v>2274.0700000000002</v>
      </c>
      <c r="Q64" s="9">
        <v>44341</v>
      </c>
    </row>
    <row r="65" spans="1:17" x14ac:dyDescent="0.3">
      <c r="A65" s="1"/>
      <c r="B65" s="2"/>
      <c r="C65" s="2"/>
      <c r="D65" s="2"/>
      <c r="E65" s="2"/>
      <c r="F65" s="4"/>
      <c r="G65" s="2"/>
      <c r="H65" s="5"/>
      <c r="I65" s="6"/>
      <c r="J65" s="18"/>
      <c r="K65" s="18"/>
      <c r="L65" s="2"/>
      <c r="M65" s="2"/>
      <c r="N65" s="7">
        <v>44377</v>
      </c>
      <c r="O65" s="4"/>
      <c r="P65" s="11">
        <v>2274.0700000000002</v>
      </c>
      <c r="Q65" s="9">
        <v>44377</v>
      </c>
    </row>
    <row r="66" spans="1:17" x14ac:dyDescent="0.3">
      <c r="A66" s="1"/>
      <c r="B66" s="2"/>
      <c r="C66" s="2"/>
      <c r="D66" s="2"/>
      <c r="E66" s="2"/>
      <c r="F66" s="4"/>
      <c r="G66" s="2"/>
      <c r="H66" s="5"/>
      <c r="I66" s="6"/>
      <c r="J66" s="18"/>
      <c r="K66" s="18"/>
      <c r="L66" s="2"/>
      <c r="M66" s="2"/>
      <c r="N66" s="7">
        <v>44407</v>
      </c>
      <c r="O66" s="4"/>
      <c r="P66" s="11">
        <v>2274.0700000000002</v>
      </c>
      <c r="Q66" s="9">
        <v>44413</v>
      </c>
    </row>
    <row r="67" spans="1:17" x14ac:dyDescent="0.3">
      <c r="A67" s="1"/>
      <c r="B67" s="2"/>
      <c r="C67" s="2"/>
      <c r="D67" s="2"/>
      <c r="E67" s="2"/>
      <c r="F67" s="4"/>
      <c r="G67" s="2"/>
      <c r="H67" s="5"/>
      <c r="I67" s="6"/>
      <c r="J67" s="18"/>
      <c r="K67" s="18"/>
      <c r="L67" s="2"/>
      <c r="M67" s="2"/>
      <c r="N67" s="7">
        <v>44439</v>
      </c>
      <c r="O67" s="4"/>
      <c r="P67" s="11">
        <v>2274.0700000000002</v>
      </c>
      <c r="Q67" s="9">
        <v>44439</v>
      </c>
    </row>
    <row r="68" spans="1:17" x14ac:dyDescent="0.3">
      <c r="A68" s="1"/>
      <c r="B68" s="2"/>
      <c r="C68" s="2"/>
      <c r="D68" s="2"/>
      <c r="E68" s="2"/>
      <c r="F68" s="4"/>
      <c r="G68" s="2"/>
      <c r="H68" s="5"/>
      <c r="I68" s="6"/>
      <c r="J68" s="18"/>
      <c r="K68" s="18"/>
      <c r="L68" s="2"/>
      <c r="M68" s="2"/>
      <c r="N68" s="7">
        <v>44469</v>
      </c>
      <c r="O68" s="4"/>
      <c r="P68" s="11">
        <v>2274.0700000000002</v>
      </c>
      <c r="Q68" s="9">
        <v>44473</v>
      </c>
    </row>
    <row r="69" spans="1:17" x14ac:dyDescent="0.3">
      <c r="A69" s="1"/>
      <c r="B69" s="2"/>
      <c r="C69" s="2"/>
      <c r="D69" s="2"/>
      <c r="E69" s="2"/>
      <c r="F69" s="4"/>
      <c r="G69" s="2"/>
      <c r="H69" s="5"/>
      <c r="I69" s="6"/>
      <c r="J69" s="18"/>
      <c r="K69" s="18"/>
      <c r="L69" s="2"/>
      <c r="M69" s="2"/>
      <c r="N69" s="7">
        <v>44500</v>
      </c>
      <c r="O69" s="4"/>
      <c r="P69" s="11"/>
      <c r="Q69" s="9"/>
    </row>
    <row r="70" spans="1:17" x14ac:dyDescent="0.3">
      <c r="A70" s="1">
        <v>11</v>
      </c>
      <c r="B70" s="2" t="s">
        <v>0</v>
      </c>
      <c r="C70" s="2" t="s">
        <v>1</v>
      </c>
      <c r="D70" s="2" t="s">
        <v>2</v>
      </c>
      <c r="E70" s="2" t="s">
        <v>40</v>
      </c>
      <c r="F70" s="4">
        <v>44218</v>
      </c>
      <c r="G70" s="2" t="s">
        <v>41</v>
      </c>
      <c r="H70" s="5">
        <v>36000</v>
      </c>
      <c r="I70" s="6">
        <f>IF(U70 = 15, H70 + SUM(#REF!) - SUM(#REF!) - SUM(P70:P78) - S70,0)</f>
        <v>0</v>
      </c>
      <c r="J70" s="18" t="s">
        <v>34</v>
      </c>
      <c r="K70" s="18" t="s">
        <v>35</v>
      </c>
      <c r="L70" s="2" t="s">
        <v>6</v>
      </c>
      <c r="M70" s="2" t="s">
        <v>7</v>
      </c>
      <c r="N70" s="19">
        <v>44218</v>
      </c>
      <c r="O70" s="4" t="s">
        <v>8</v>
      </c>
      <c r="P70" s="16">
        <v>3000</v>
      </c>
      <c r="Q70" s="17">
        <v>44237</v>
      </c>
    </row>
    <row r="71" spans="1:17" x14ac:dyDescent="0.3">
      <c r="A71" s="1"/>
      <c r="B71" s="2"/>
      <c r="C71" s="2"/>
      <c r="D71" s="2"/>
      <c r="E71" s="2"/>
      <c r="F71" s="4"/>
      <c r="G71" s="2"/>
      <c r="H71" s="5"/>
      <c r="I71" s="6"/>
      <c r="J71" s="18"/>
      <c r="K71" s="18"/>
      <c r="L71" s="2"/>
      <c r="M71" s="2"/>
      <c r="N71" s="7">
        <v>44251</v>
      </c>
      <c r="O71" s="4"/>
      <c r="P71" s="16">
        <v>3000</v>
      </c>
      <c r="Q71" s="17">
        <v>44265</v>
      </c>
    </row>
    <row r="72" spans="1:17" x14ac:dyDescent="0.3">
      <c r="A72" s="1"/>
      <c r="B72" s="2"/>
      <c r="C72" s="2"/>
      <c r="D72" s="2"/>
      <c r="E72" s="2"/>
      <c r="F72" s="4"/>
      <c r="G72" s="2"/>
      <c r="H72" s="5"/>
      <c r="I72" s="6"/>
      <c r="J72" s="18"/>
      <c r="K72" s="18"/>
      <c r="L72" s="2"/>
      <c r="M72" s="2"/>
      <c r="N72" s="7">
        <v>44277</v>
      </c>
      <c r="O72" s="4"/>
      <c r="P72" s="11">
        <v>3000</v>
      </c>
      <c r="Q72" s="9">
        <v>44299</v>
      </c>
    </row>
    <row r="73" spans="1:17" x14ac:dyDescent="0.3">
      <c r="A73" s="1"/>
      <c r="B73" s="2"/>
      <c r="C73" s="2"/>
      <c r="D73" s="2"/>
      <c r="E73" s="2"/>
      <c r="F73" s="4"/>
      <c r="G73" s="2"/>
      <c r="H73" s="5"/>
      <c r="I73" s="6"/>
      <c r="J73" s="18"/>
      <c r="K73" s="18"/>
      <c r="L73" s="2"/>
      <c r="M73" s="2"/>
      <c r="N73" s="7">
        <v>44307</v>
      </c>
      <c r="O73" s="4"/>
      <c r="P73" s="11">
        <v>3000</v>
      </c>
      <c r="Q73" s="9">
        <v>44341</v>
      </c>
    </row>
    <row r="74" spans="1:17" x14ac:dyDescent="0.3">
      <c r="A74" s="1"/>
      <c r="B74" s="2"/>
      <c r="C74" s="2"/>
      <c r="D74" s="2"/>
      <c r="E74" s="2"/>
      <c r="F74" s="4"/>
      <c r="G74" s="2"/>
      <c r="H74" s="5"/>
      <c r="I74" s="6"/>
      <c r="J74" s="18"/>
      <c r="K74" s="18"/>
      <c r="L74" s="2"/>
      <c r="M74" s="2"/>
      <c r="N74" s="7">
        <v>44337</v>
      </c>
      <c r="O74" s="4"/>
      <c r="P74" s="11">
        <v>3000</v>
      </c>
      <c r="Q74" s="9">
        <v>44341</v>
      </c>
    </row>
    <row r="75" spans="1:17" x14ac:dyDescent="0.3">
      <c r="A75" s="1"/>
      <c r="B75" s="2"/>
      <c r="C75" s="2"/>
      <c r="D75" s="2"/>
      <c r="E75" s="2"/>
      <c r="F75" s="4"/>
      <c r="G75" s="2"/>
      <c r="H75" s="5"/>
      <c r="I75" s="6"/>
      <c r="J75" s="18"/>
      <c r="K75" s="18"/>
      <c r="L75" s="2"/>
      <c r="M75" s="2"/>
      <c r="N75" s="7">
        <v>44368</v>
      </c>
      <c r="O75" s="4"/>
      <c r="P75" s="11">
        <v>3000</v>
      </c>
      <c r="Q75" s="9">
        <v>44377</v>
      </c>
    </row>
    <row r="76" spans="1:17" x14ac:dyDescent="0.3">
      <c r="A76" s="1"/>
      <c r="B76" s="2"/>
      <c r="C76" s="2"/>
      <c r="D76" s="2"/>
      <c r="E76" s="2"/>
      <c r="F76" s="4"/>
      <c r="G76" s="2"/>
      <c r="H76" s="5"/>
      <c r="I76" s="6"/>
      <c r="J76" s="18"/>
      <c r="K76" s="18"/>
      <c r="L76" s="2"/>
      <c r="M76" s="2"/>
      <c r="N76" s="7">
        <v>44408</v>
      </c>
      <c r="O76" s="4"/>
      <c r="P76" s="11">
        <v>3000</v>
      </c>
      <c r="Q76" s="9">
        <v>44413</v>
      </c>
    </row>
    <row r="77" spans="1:17" x14ac:dyDescent="0.3">
      <c r="A77" s="1"/>
      <c r="B77" s="2"/>
      <c r="C77" s="2"/>
      <c r="D77" s="2"/>
      <c r="E77" s="2"/>
      <c r="F77" s="4"/>
      <c r="G77" s="2"/>
      <c r="H77" s="5"/>
      <c r="I77" s="6"/>
      <c r="J77" s="18"/>
      <c r="K77" s="18"/>
      <c r="L77" s="2"/>
      <c r="M77" s="2"/>
      <c r="N77" s="7">
        <v>44439</v>
      </c>
      <c r="O77" s="4"/>
      <c r="P77" s="11">
        <v>3000</v>
      </c>
      <c r="Q77" s="9">
        <v>44439</v>
      </c>
    </row>
    <row r="78" spans="1:17" x14ac:dyDescent="0.3">
      <c r="A78" s="1"/>
      <c r="B78" s="2"/>
      <c r="C78" s="2"/>
      <c r="D78" s="2"/>
      <c r="E78" s="2"/>
      <c r="F78" s="4"/>
      <c r="G78" s="2"/>
      <c r="H78" s="5"/>
      <c r="I78" s="6"/>
      <c r="J78" s="18"/>
      <c r="K78" s="18"/>
      <c r="L78" s="2"/>
      <c r="M78" s="2"/>
      <c r="N78" s="7">
        <v>44469</v>
      </c>
      <c r="O78" s="4"/>
      <c r="P78" s="11">
        <v>3000</v>
      </c>
      <c r="Q78" s="9">
        <v>44474</v>
      </c>
    </row>
    <row r="79" spans="1:17" x14ac:dyDescent="0.3">
      <c r="A79" s="1">
        <v>12</v>
      </c>
      <c r="B79" s="2" t="s">
        <v>0</v>
      </c>
      <c r="C79" s="2" t="s">
        <v>1</v>
      </c>
      <c r="D79" s="2" t="s">
        <v>2</v>
      </c>
      <c r="E79" s="2" t="s">
        <v>42</v>
      </c>
      <c r="F79" s="4">
        <v>44225</v>
      </c>
      <c r="G79" s="2" t="s">
        <v>29</v>
      </c>
      <c r="H79" s="5">
        <v>5400</v>
      </c>
      <c r="I79" s="6">
        <f>IF(U79 = 16, H79 + SUM(#REF!) - SUM(#REF!) - SUM(P79:P87) - S79,0)</f>
        <v>0</v>
      </c>
      <c r="J79" s="3" t="s">
        <v>43</v>
      </c>
      <c r="K79" s="3" t="s">
        <v>44</v>
      </c>
      <c r="L79" s="2" t="s">
        <v>6</v>
      </c>
      <c r="M79" s="2" t="s">
        <v>7</v>
      </c>
      <c r="N79" s="13">
        <v>44225</v>
      </c>
      <c r="O79" s="4" t="s">
        <v>8</v>
      </c>
      <c r="P79" s="11">
        <v>450</v>
      </c>
      <c r="Q79" s="9">
        <v>44225</v>
      </c>
    </row>
    <row r="80" spans="1:17" x14ac:dyDescent="0.3">
      <c r="A80" s="1"/>
      <c r="B80" s="2"/>
      <c r="C80" s="2"/>
      <c r="D80" s="2"/>
      <c r="E80" s="2"/>
      <c r="F80" s="4"/>
      <c r="G80" s="2"/>
      <c r="H80" s="5"/>
      <c r="I80" s="6"/>
      <c r="J80" s="3"/>
      <c r="K80" s="3"/>
      <c r="L80" s="2"/>
      <c r="M80" s="2"/>
      <c r="N80" s="7">
        <v>44253</v>
      </c>
      <c r="O80" s="4"/>
      <c r="P80" s="11">
        <v>450</v>
      </c>
      <c r="Q80" s="9">
        <v>44264</v>
      </c>
    </row>
    <row r="81" spans="1:17" x14ac:dyDescent="0.3">
      <c r="A81" s="1"/>
      <c r="B81" s="2"/>
      <c r="C81" s="2"/>
      <c r="D81" s="2"/>
      <c r="E81" s="2"/>
      <c r="F81" s="4"/>
      <c r="G81" s="2"/>
      <c r="H81" s="5"/>
      <c r="I81" s="6"/>
      <c r="J81" s="3"/>
      <c r="K81" s="3"/>
      <c r="L81" s="2"/>
      <c r="M81" s="2"/>
      <c r="N81" s="7">
        <v>44286</v>
      </c>
      <c r="O81" s="4"/>
      <c r="P81" s="11">
        <v>450</v>
      </c>
      <c r="Q81" s="9">
        <v>44292</v>
      </c>
    </row>
    <row r="82" spans="1:17" x14ac:dyDescent="0.3">
      <c r="A82" s="1"/>
      <c r="B82" s="2"/>
      <c r="C82" s="2"/>
      <c r="D82" s="2"/>
      <c r="E82" s="2"/>
      <c r="F82" s="4"/>
      <c r="G82" s="2"/>
      <c r="H82" s="5"/>
      <c r="I82" s="6"/>
      <c r="J82" s="3"/>
      <c r="K82" s="3"/>
      <c r="L82" s="2"/>
      <c r="M82" s="2"/>
      <c r="N82" s="7">
        <v>44316</v>
      </c>
      <c r="O82" s="4"/>
      <c r="P82" s="11">
        <v>450</v>
      </c>
      <c r="Q82" s="9">
        <v>44340</v>
      </c>
    </row>
    <row r="83" spans="1:17" x14ac:dyDescent="0.3">
      <c r="A83" s="1"/>
      <c r="B83" s="2"/>
      <c r="C83" s="2"/>
      <c r="D83" s="2"/>
      <c r="E83" s="2"/>
      <c r="F83" s="4"/>
      <c r="G83" s="2"/>
      <c r="H83" s="5"/>
      <c r="I83" s="6"/>
      <c r="J83" s="3"/>
      <c r="K83" s="3"/>
      <c r="L83" s="2"/>
      <c r="M83" s="2"/>
      <c r="N83" s="7">
        <v>44347</v>
      </c>
      <c r="O83" s="4"/>
      <c r="P83" s="11">
        <v>450</v>
      </c>
      <c r="Q83" s="9">
        <v>44377</v>
      </c>
    </row>
    <row r="84" spans="1:17" x14ac:dyDescent="0.3">
      <c r="A84" s="1"/>
      <c r="B84" s="2"/>
      <c r="C84" s="2"/>
      <c r="D84" s="2"/>
      <c r="E84" s="2"/>
      <c r="F84" s="4"/>
      <c r="G84" s="2"/>
      <c r="H84" s="5"/>
      <c r="I84" s="6"/>
      <c r="J84" s="3"/>
      <c r="K84" s="3"/>
      <c r="L84" s="2"/>
      <c r="M84" s="2"/>
      <c r="N84" s="7">
        <v>44377</v>
      </c>
      <c r="O84" s="4"/>
      <c r="P84" s="11">
        <v>450</v>
      </c>
      <c r="Q84" s="9">
        <v>44377</v>
      </c>
    </row>
    <row r="85" spans="1:17" x14ac:dyDescent="0.3">
      <c r="A85" s="1"/>
      <c r="B85" s="2"/>
      <c r="C85" s="2"/>
      <c r="D85" s="2"/>
      <c r="E85" s="2"/>
      <c r="F85" s="4"/>
      <c r="G85" s="2"/>
      <c r="H85" s="5"/>
      <c r="I85" s="6"/>
      <c r="J85" s="3"/>
      <c r="K85" s="3"/>
      <c r="L85" s="2"/>
      <c r="M85" s="2"/>
      <c r="N85" s="7">
        <v>44408</v>
      </c>
      <c r="O85" s="4"/>
      <c r="P85" s="11">
        <v>450</v>
      </c>
      <c r="Q85" s="9">
        <v>44412</v>
      </c>
    </row>
    <row r="86" spans="1:17" x14ac:dyDescent="0.3">
      <c r="A86" s="1"/>
      <c r="B86" s="2"/>
      <c r="C86" s="2"/>
      <c r="D86" s="2"/>
      <c r="E86" s="2"/>
      <c r="F86" s="4"/>
      <c r="G86" s="2"/>
      <c r="H86" s="5"/>
      <c r="I86" s="6"/>
      <c r="J86" s="3"/>
      <c r="K86" s="3"/>
      <c r="L86" s="2"/>
      <c r="M86" s="2"/>
      <c r="N86" s="7">
        <v>44439</v>
      </c>
      <c r="O86" s="4"/>
      <c r="P86" s="11">
        <v>450</v>
      </c>
      <c r="Q86" s="9">
        <v>44439</v>
      </c>
    </row>
    <row r="87" spans="1:17" x14ac:dyDescent="0.3">
      <c r="A87" s="1"/>
      <c r="B87" s="2"/>
      <c r="C87" s="2"/>
      <c r="D87" s="2"/>
      <c r="E87" s="2"/>
      <c r="F87" s="4"/>
      <c r="G87" s="2"/>
      <c r="H87" s="5"/>
      <c r="I87" s="6"/>
      <c r="J87" s="3"/>
      <c r="K87" s="3"/>
      <c r="L87" s="2"/>
      <c r="M87" s="2"/>
      <c r="N87" s="7">
        <v>44469</v>
      </c>
      <c r="O87" s="4"/>
      <c r="P87" s="11">
        <v>450</v>
      </c>
      <c r="Q87" s="9">
        <v>44469</v>
      </c>
    </row>
    <row r="88" spans="1:17" x14ac:dyDescent="0.3">
      <c r="A88" s="1">
        <v>13</v>
      </c>
      <c r="B88" s="2" t="s">
        <v>0</v>
      </c>
      <c r="C88" s="2" t="s">
        <v>1</v>
      </c>
      <c r="D88" s="2" t="s">
        <v>2</v>
      </c>
      <c r="E88" s="3" t="s">
        <v>45</v>
      </c>
      <c r="F88" s="14">
        <v>44228</v>
      </c>
      <c r="G88" s="2" t="s">
        <v>29</v>
      </c>
      <c r="H88" s="5">
        <v>3300</v>
      </c>
      <c r="I88" s="6">
        <f>IF(U88 = 17, H88 + SUM(#REF!) - SUM(#REF!) - SUM(P88:P90) - S88,0)</f>
        <v>0</v>
      </c>
      <c r="J88" s="3" t="s">
        <v>30</v>
      </c>
      <c r="K88" s="3" t="s">
        <v>31</v>
      </c>
      <c r="L88" s="2" t="s">
        <v>6</v>
      </c>
      <c r="M88" s="2" t="s">
        <v>27</v>
      </c>
      <c r="N88" s="13">
        <v>44286</v>
      </c>
      <c r="O88" s="4" t="s">
        <v>8</v>
      </c>
      <c r="P88" s="8">
        <v>600</v>
      </c>
      <c r="Q88" s="20">
        <v>44292</v>
      </c>
    </row>
    <row r="89" spans="1:17" x14ac:dyDescent="0.3">
      <c r="A89" s="1"/>
      <c r="B89" s="2"/>
      <c r="C89" s="2"/>
      <c r="D89" s="2"/>
      <c r="E89" s="3"/>
      <c r="F89" s="14"/>
      <c r="G89" s="2"/>
      <c r="H89" s="5"/>
      <c r="I89" s="6"/>
      <c r="J89" s="3"/>
      <c r="K89" s="3"/>
      <c r="L89" s="2"/>
      <c r="M89" s="2"/>
      <c r="N89" s="7">
        <v>44377</v>
      </c>
      <c r="O89" s="4"/>
      <c r="P89" s="11">
        <v>900</v>
      </c>
      <c r="Q89" s="9">
        <v>44377</v>
      </c>
    </row>
    <row r="90" spans="1:17" x14ac:dyDescent="0.3">
      <c r="A90" s="1"/>
      <c r="B90" s="2"/>
      <c r="C90" s="2"/>
      <c r="D90" s="2"/>
      <c r="E90" s="3"/>
      <c r="F90" s="14"/>
      <c r="G90" s="2"/>
      <c r="H90" s="5"/>
      <c r="I90" s="6"/>
      <c r="J90" s="3"/>
      <c r="K90" s="3"/>
      <c r="L90" s="2"/>
      <c r="M90" s="2"/>
      <c r="N90" s="7">
        <v>44469</v>
      </c>
      <c r="O90" s="4"/>
      <c r="P90" s="11">
        <v>900</v>
      </c>
      <c r="Q90" s="9">
        <v>44468</v>
      </c>
    </row>
    <row r="91" spans="1:17" ht="81.599999999999994" x14ac:dyDescent="0.3">
      <c r="A91" s="21">
        <v>14</v>
      </c>
      <c r="B91" s="12" t="s">
        <v>0</v>
      </c>
      <c r="C91" s="10" t="s">
        <v>1</v>
      </c>
      <c r="D91" s="10" t="s">
        <v>2</v>
      </c>
      <c r="E91" s="12" t="s">
        <v>46</v>
      </c>
      <c r="F91" s="9">
        <v>44223</v>
      </c>
      <c r="G91" s="10" t="s">
        <v>47</v>
      </c>
      <c r="H91" s="8">
        <v>4000</v>
      </c>
      <c r="I91" s="22">
        <f>IF(U91 = 18, H91 + SUM(#REF!) - SUM(#REF!) - SUM(P91:P91) - S91,0)</f>
        <v>0</v>
      </c>
      <c r="J91" s="12" t="s">
        <v>30</v>
      </c>
      <c r="K91" s="12" t="s">
        <v>31</v>
      </c>
      <c r="L91" s="10" t="s">
        <v>6</v>
      </c>
      <c r="M91" s="10" t="s">
        <v>48</v>
      </c>
      <c r="N91" s="13">
        <v>44224</v>
      </c>
      <c r="O91" s="13" t="s">
        <v>8</v>
      </c>
      <c r="P91" s="23">
        <v>4000</v>
      </c>
      <c r="Q91" s="9">
        <v>44232</v>
      </c>
    </row>
    <row r="92" spans="1:17" ht="81.599999999999994" x14ac:dyDescent="0.3">
      <c r="A92" s="21">
        <v>15</v>
      </c>
      <c r="B92" s="12" t="s">
        <v>0</v>
      </c>
      <c r="C92" s="10" t="s">
        <v>1</v>
      </c>
      <c r="D92" s="10" t="s">
        <v>2</v>
      </c>
      <c r="E92" s="12" t="s">
        <v>49</v>
      </c>
      <c r="F92" s="9">
        <v>44224</v>
      </c>
      <c r="G92" s="10" t="s">
        <v>50</v>
      </c>
      <c r="H92" s="8">
        <v>3000</v>
      </c>
      <c r="I92" s="22">
        <f>IF(U92 = 19, H92 + SUM(#REF!) - SUM(#REF!) - SUM(P92:P92) - S92,0)</f>
        <v>0</v>
      </c>
      <c r="J92" s="12" t="s">
        <v>30</v>
      </c>
      <c r="K92" s="12" t="s">
        <v>31</v>
      </c>
      <c r="L92" s="10" t="s">
        <v>6</v>
      </c>
      <c r="M92" s="10" t="s">
        <v>48</v>
      </c>
      <c r="N92" s="13">
        <v>44224</v>
      </c>
      <c r="O92" s="13" t="s">
        <v>8</v>
      </c>
      <c r="P92" s="23">
        <v>3000</v>
      </c>
      <c r="Q92" s="9">
        <v>44232</v>
      </c>
    </row>
    <row r="93" spans="1:17" ht="81.599999999999994" x14ac:dyDescent="0.3">
      <c r="A93" s="21">
        <v>16</v>
      </c>
      <c r="B93" s="12" t="s">
        <v>0</v>
      </c>
      <c r="C93" s="10" t="s">
        <v>1</v>
      </c>
      <c r="D93" s="10" t="s">
        <v>2</v>
      </c>
      <c r="E93" s="12" t="s">
        <v>51</v>
      </c>
      <c r="F93" s="9">
        <v>44218</v>
      </c>
      <c r="G93" s="12" t="s">
        <v>52</v>
      </c>
      <c r="H93" s="24">
        <v>7486.71</v>
      </c>
      <c r="I93" s="22">
        <f>IF(U93 = 20, H93 + SUM(#REF!) - SUM(#REF!) - SUM(P93:P93) - S93,0)</f>
        <v>0</v>
      </c>
      <c r="J93" s="12" t="s">
        <v>53</v>
      </c>
      <c r="K93" s="12" t="s">
        <v>54</v>
      </c>
      <c r="L93" s="10" t="s">
        <v>1</v>
      </c>
      <c r="M93" s="10" t="s">
        <v>48</v>
      </c>
      <c r="N93" s="13">
        <v>44218</v>
      </c>
      <c r="O93" s="13" t="s">
        <v>8</v>
      </c>
      <c r="P93" s="23">
        <v>7486.71</v>
      </c>
      <c r="Q93" s="9">
        <v>44229</v>
      </c>
    </row>
    <row r="94" spans="1:17" ht="81.599999999999994" x14ac:dyDescent="0.3">
      <c r="A94" s="21">
        <v>17</v>
      </c>
      <c r="B94" s="12" t="s">
        <v>0</v>
      </c>
      <c r="C94" s="10" t="s">
        <v>1</v>
      </c>
      <c r="D94" s="10" t="s">
        <v>2</v>
      </c>
      <c r="E94" s="12" t="s">
        <v>55</v>
      </c>
      <c r="F94" s="9">
        <v>44216</v>
      </c>
      <c r="G94" s="10" t="s">
        <v>56</v>
      </c>
      <c r="H94" s="8">
        <v>3472</v>
      </c>
      <c r="I94" s="22">
        <f>IF(U94 = 21, H94 + SUM(#REF!) - SUM(#REF!) - SUM(P94:P94) - S94,0)</f>
        <v>0</v>
      </c>
      <c r="J94" s="12" t="s">
        <v>57</v>
      </c>
      <c r="K94" s="12" t="s">
        <v>58</v>
      </c>
      <c r="L94" s="10" t="s">
        <v>6</v>
      </c>
      <c r="M94" s="10" t="s">
        <v>48</v>
      </c>
      <c r="N94" s="13">
        <v>44216</v>
      </c>
      <c r="O94" s="13" t="s">
        <v>8</v>
      </c>
      <c r="P94" s="23">
        <v>3472</v>
      </c>
      <c r="Q94" s="9">
        <v>44225</v>
      </c>
    </row>
    <row r="95" spans="1:17" ht="81.599999999999994" x14ac:dyDescent="0.3">
      <c r="A95" s="21">
        <v>18</v>
      </c>
      <c r="B95" s="12" t="s">
        <v>59</v>
      </c>
      <c r="C95" s="10" t="s">
        <v>1</v>
      </c>
      <c r="D95" s="10" t="s">
        <v>2</v>
      </c>
      <c r="E95" s="12" t="s">
        <v>9</v>
      </c>
      <c r="F95" s="9">
        <v>44235</v>
      </c>
      <c r="G95" s="12" t="s">
        <v>60</v>
      </c>
      <c r="H95" s="24">
        <v>7680</v>
      </c>
      <c r="I95" s="22">
        <f>IF(U95 = 22, H95 + SUM(#REF!) - SUM(#REF!) - SUM(P95:P95) - S95,0)</f>
        <v>0</v>
      </c>
      <c r="J95" s="12" t="s">
        <v>61</v>
      </c>
      <c r="K95" s="12" t="s">
        <v>62</v>
      </c>
      <c r="L95" s="10" t="s">
        <v>1</v>
      </c>
      <c r="M95" s="10" t="s">
        <v>48</v>
      </c>
      <c r="N95" s="9">
        <v>44235</v>
      </c>
      <c r="O95" s="13" t="s">
        <v>8</v>
      </c>
      <c r="P95" s="23">
        <v>7680</v>
      </c>
      <c r="Q95" s="9">
        <v>44238</v>
      </c>
    </row>
    <row r="96" spans="1:17" ht="81.599999999999994" x14ac:dyDescent="0.3">
      <c r="A96" s="21">
        <v>19</v>
      </c>
      <c r="B96" s="12" t="s">
        <v>0</v>
      </c>
      <c r="C96" s="10" t="s">
        <v>1</v>
      </c>
      <c r="D96" s="10" t="s">
        <v>2</v>
      </c>
      <c r="E96" s="12" t="s">
        <v>63</v>
      </c>
      <c r="F96" s="9">
        <v>44226</v>
      </c>
      <c r="G96" s="12" t="s">
        <v>64</v>
      </c>
      <c r="H96" s="24">
        <v>1000</v>
      </c>
      <c r="I96" s="22">
        <f>IF(U96 = 23, H96 + SUM(#REF!) - SUM(#REF!) - SUM(P96:P96) - S96,0)</f>
        <v>0</v>
      </c>
      <c r="J96" s="12" t="s">
        <v>65</v>
      </c>
      <c r="K96" s="12" t="s">
        <v>66</v>
      </c>
      <c r="L96" s="10" t="s">
        <v>6</v>
      </c>
      <c r="M96" s="10" t="s">
        <v>48</v>
      </c>
      <c r="N96" s="9">
        <v>44226</v>
      </c>
      <c r="O96" s="13" t="s">
        <v>8</v>
      </c>
      <c r="P96" s="23">
        <v>1000</v>
      </c>
      <c r="Q96" s="9">
        <v>44239</v>
      </c>
    </row>
    <row r="97" spans="1:17" ht="81.599999999999994" x14ac:dyDescent="0.3">
      <c r="A97" s="21">
        <v>20</v>
      </c>
      <c r="B97" s="12" t="s">
        <v>0</v>
      </c>
      <c r="C97" s="10" t="s">
        <v>1</v>
      </c>
      <c r="D97" s="10" t="s">
        <v>2</v>
      </c>
      <c r="E97" s="25" t="s">
        <v>67</v>
      </c>
      <c r="F97" s="17">
        <v>44224</v>
      </c>
      <c r="G97" s="25" t="s">
        <v>68</v>
      </c>
      <c r="H97" s="26">
        <v>4000</v>
      </c>
      <c r="I97" s="22">
        <f>IF(U97 = 24, H97 + SUM(#REF!) - SUM(#REF!) - SUM(P97:P97) - S97,0)</f>
        <v>0</v>
      </c>
      <c r="J97" s="12" t="s">
        <v>69</v>
      </c>
      <c r="K97" s="12" t="s">
        <v>70</v>
      </c>
      <c r="L97" s="10" t="s">
        <v>1</v>
      </c>
      <c r="M97" s="10" t="s">
        <v>48</v>
      </c>
      <c r="N97" s="17">
        <v>44224</v>
      </c>
      <c r="O97" s="13" t="s">
        <v>8</v>
      </c>
      <c r="P97" s="27">
        <v>4000</v>
      </c>
      <c r="Q97" s="17">
        <v>44244</v>
      </c>
    </row>
    <row r="98" spans="1:17" ht="61.2" x14ac:dyDescent="0.3">
      <c r="A98" s="21">
        <v>21</v>
      </c>
      <c r="B98" s="12" t="s">
        <v>0</v>
      </c>
      <c r="C98" s="10" t="s">
        <v>6</v>
      </c>
      <c r="D98" s="10" t="s">
        <v>2</v>
      </c>
      <c r="E98" s="25" t="s">
        <v>71</v>
      </c>
      <c r="F98" s="17">
        <v>44244</v>
      </c>
      <c r="G98" s="25" t="s">
        <v>72</v>
      </c>
      <c r="H98" s="26">
        <v>25000</v>
      </c>
      <c r="I98" s="22">
        <f>IF(U98 = 25, H98 + SUM(#REF!) - SUM(#REF!) - SUM(P98:P98) - S98,0)</f>
        <v>0</v>
      </c>
      <c r="J98" s="25" t="s">
        <v>73</v>
      </c>
      <c r="K98" s="25" t="s">
        <v>74</v>
      </c>
      <c r="L98" s="10" t="s">
        <v>6</v>
      </c>
      <c r="M98" s="10" t="s">
        <v>48</v>
      </c>
      <c r="N98" s="17">
        <v>44244</v>
      </c>
      <c r="O98" s="13" t="s">
        <v>75</v>
      </c>
      <c r="P98" s="23">
        <v>25000</v>
      </c>
      <c r="Q98" s="17">
        <v>44258</v>
      </c>
    </row>
    <row r="99" spans="1:17" ht="81.599999999999994" x14ac:dyDescent="0.3">
      <c r="A99" s="21">
        <v>22</v>
      </c>
      <c r="B99" s="12" t="s">
        <v>0</v>
      </c>
      <c r="C99" s="10" t="s">
        <v>1</v>
      </c>
      <c r="D99" s="10" t="s">
        <v>2</v>
      </c>
      <c r="E99" s="12" t="s">
        <v>76</v>
      </c>
      <c r="F99" s="9">
        <v>44244</v>
      </c>
      <c r="G99" s="12" t="s">
        <v>64</v>
      </c>
      <c r="H99" s="24">
        <v>1000</v>
      </c>
      <c r="I99" s="22">
        <f>IF(U99 = 26, H99 + SUM(#REF!) - SUM(#REF!) - SUM(P99:P99) - S99,0)</f>
        <v>0</v>
      </c>
      <c r="J99" s="12" t="s">
        <v>65</v>
      </c>
      <c r="K99" s="12" t="s">
        <v>66</v>
      </c>
      <c r="L99" s="10" t="s">
        <v>6</v>
      </c>
      <c r="M99" s="10" t="s">
        <v>48</v>
      </c>
      <c r="N99" s="9">
        <v>44244</v>
      </c>
      <c r="O99" s="13" t="s">
        <v>8</v>
      </c>
      <c r="P99" s="23">
        <v>1000</v>
      </c>
      <c r="Q99" s="9">
        <v>44259</v>
      </c>
    </row>
    <row r="100" spans="1:17" ht="61.2" x14ac:dyDescent="0.3">
      <c r="A100" s="21">
        <v>23</v>
      </c>
      <c r="B100" s="12" t="s">
        <v>59</v>
      </c>
      <c r="C100" s="10" t="s">
        <v>1</v>
      </c>
      <c r="D100" s="10" t="s">
        <v>2</v>
      </c>
      <c r="E100" s="25" t="s">
        <v>77</v>
      </c>
      <c r="F100" s="17">
        <v>44257</v>
      </c>
      <c r="G100" s="25" t="s">
        <v>78</v>
      </c>
      <c r="H100" s="26">
        <v>9991.2999999999993</v>
      </c>
      <c r="I100" s="22">
        <f>IF(U100 = 27, H100 + SUM(#REF!) - SUM(#REF!) - SUM(P100:P100) - S100,0)</f>
        <v>0</v>
      </c>
      <c r="J100" s="12" t="s">
        <v>79</v>
      </c>
      <c r="K100" s="12" t="s">
        <v>80</v>
      </c>
      <c r="L100" s="10" t="s">
        <v>6</v>
      </c>
      <c r="M100" s="10" t="s">
        <v>48</v>
      </c>
      <c r="N100" s="17">
        <v>44257</v>
      </c>
      <c r="O100" s="13" t="s">
        <v>75</v>
      </c>
      <c r="P100" s="23">
        <v>9991.2999999999993</v>
      </c>
      <c r="Q100" s="17">
        <v>44264</v>
      </c>
    </row>
    <row r="101" spans="1:17" ht="61.2" x14ac:dyDescent="0.3">
      <c r="A101" s="21">
        <v>24</v>
      </c>
      <c r="B101" s="12" t="s">
        <v>0</v>
      </c>
      <c r="C101" s="10" t="s">
        <v>1</v>
      </c>
      <c r="D101" s="10" t="s">
        <v>2</v>
      </c>
      <c r="E101" s="10" t="s">
        <v>81</v>
      </c>
      <c r="F101" s="17">
        <v>44252</v>
      </c>
      <c r="G101" s="10" t="s">
        <v>82</v>
      </c>
      <c r="H101" s="8">
        <v>35282</v>
      </c>
      <c r="I101" s="22">
        <f>IF(U101 = 28, H101 + SUM(#REF!) - SUM(#REF!) - SUM(P101:P101) - S101,0)</f>
        <v>0</v>
      </c>
      <c r="J101" s="10" t="s">
        <v>83</v>
      </c>
      <c r="K101" s="10" t="s">
        <v>84</v>
      </c>
      <c r="L101" s="10" t="s">
        <v>6</v>
      </c>
      <c r="M101" s="10" t="s">
        <v>85</v>
      </c>
      <c r="N101" s="13">
        <v>44300</v>
      </c>
      <c r="O101" s="13" t="s">
        <v>75</v>
      </c>
      <c r="P101" s="8">
        <v>35282</v>
      </c>
      <c r="Q101" s="20">
        <v>44302</v>
      </c>
    </row>
    <row r="102" spans="1:17" ht="61.2" x14ac:dyDescent="0.3">
      <c r="A102" s="21">
        <v>25</v>
      </c>
      <c r="B102" s="10" t="s">
        <v>59</v>
      </c>
      <c r="C102" s="10" t="s">
        <v>1</v>
      </c>
      <c r="D102" s="10" t="s">
        <v>86</v>
      </c>
      <c r="E102" s="10" t="s">
        <v>87</v>
      </c>
      <c r="F102" s="13">
        <v>44277</v>
      </c>
      <c r="G102" s="10" t="s">
        <v>88</v>
      </c>
      <c r="H102" s="8">
        <v>11750</v>
      </c>
      <c r="I102" s="22">
        <f>IF(U102 = 29, H102 + SUM(#REF!) - SUM(#REF!) - SUM(P102:P102) - S102,0)</f>
        <v>0</v>
      </c>
      <c r="J102" s="10" t="s">
        <v>89</v>
      </c>
      <c r="K102" s="10" t="s">
        <v>90</v>
      </c>
      <c r="L102" s="10" t="s">
        <v>6</v>
      </c>
      <c r="M102" s="10" t="s">
        <v>91</v>
      </c>
      <c r="N102" s="13">
        <v>44279</v>
      </c>
      <c r="O102" s="13" t="s">
        <v>75</v>
      </c>
      <c r="P102" s="8">
        <v>11750</v>
      </c>
      <c r="Q102" s="20">
        <v>44298</v>
      </c>
    </row>
    <row r="103" spans="1:17" ht="81.599999999999994" x14ac:dyDescent="0.3">
      <c r="A103" s="21">
        <v>26</v>
      </c>
      <c r="B103" s="10" t="s">
        <v>0</v>
      </c>
      <c r="C103" s="10" t="s">
        <v>1</v>
      </c>
      <c r="D103" s="10" t="s">
        <v>86</v>
      </c>
      <c r="E103" s="10" t="s">
        <v>92</v>
      </c>
      <c r="F103" s="13">
        <v>44277</v>
      </c>
      <c r="G103" s="10" t="s">
        <v>93</v>
      </c>
      <c r="H103" s="8">
        <v>12460</v>
      </c>
      <c r="I103" s="22">
        <f>IF(U103 = 30, H103 + SUM(#REF!) - SUM(#REF!) - SUM(P103:P103) - S103,0)</f>
        <v>0</v>
      </c>
      <c r="J103" s="10" t="s">
        <v>57</v>
      </c>
      <c r="K103" s="10" t="s">
        <v>58</v>
      </c>
      <c r="L103" s="10" t="s">
        <v>6</v>
      </c>
      <c r="M103" s="10" t="s">
        <v>48</v>
      </c>
      <c r="N103" s="13">
        <v>44277</v>
      </c>
      <c r="O103" s="13" t="s">
        <v>8</v>
      </c>
      <c r="P103" s="8">
        <v>12460</v>
      </c>
      <c r="Q103" s="20">
        <v>44292</v>
      </c>
    </row>
    <row r="104" spans="1:17" ht="81.599999999999994" x14ac:dyDescent="0.3">
      <c r="A104" s="21">
        <v>27</v>
      </c>
      <c r="B104" s="10" t="s">
        <v>0</v>
      </c>
      <c r="C104" s="10" t="s">
        <v>1</v>
      </c>
      <c r="D104" s="10" t="s">
        <v>86</v>
      </c>
      <c r="E104" s="10" t="s">
        <v>94</v>
      </c>
      <c r="F104" s="13">
        <v>44246</v>
      </c>
      <c r="G104" s="10" t="s">
        <v>93</v>
      </c>
      <c r="H104" s="8">
        <v>4100</v>
      </c>
      <c r="I104" s="22">
        <f>IF(U104 = 31, H104 + SUM(#REF!) - SUM(#REF!) - SUM(P104:P104) - S104,0)</f>
        <v>0</v>
      </c>
      <c r="J104" s="10" t="s">
        <v>57</v>
      </c>
      <c r="K104" s="10" t="s">
        <v>58</v>
      </c>
      <c r="L104" s="10" t="s">
        <v>6</v>
      </c>
      <c r="M104" s="10" t="s">
        <v>48</v>
      </c>
      <c r="N104" s="13" t="s">
        <v>95</v>
      </c>
      <c r="O104" s="13" t="s">
        <v>8</v>
      </c>
      <c r="P104" s="8">
        <v>4100</v>
      </c>
      <c r="Q104" s="20">
        <v>44292</v>
      </c>
    </row>
    <row r="105" spans="1:17" ht="61.2" x14ac:dyDescent="0.3">
      <c r="A105" s="21">
        <v>28</v>
      </c>
      <c r="B105" s="10" t="s">
        <v>0</v>
      </c>
      <c r="C105" s="10" t="s">
        <v>1</v>
      </c>
      <c r="D105" s="10" t="s">
        <v>86</v>
      </c>
      <c r="E105" s="10" t="s">
        <v>96</v>
      </c>
      <c r="F105" s="13">
        <v>44285</v>
      </c>
      <c r="G105" s="10" t="s">
        <v>97</v>
      </c>
      <c r="H105" s="8">
        <v>17760.8</v>
      </c>
      <c r="I105" s="22">
        <f>IF(U105 = 32, H105 + SUM(#REF!) - SUM(#REF!) - SUM(P105:P105) - S105,0)</f>
        <v>0</v>
      </c>
      <c r="J105" s="10" t="s">
        <v>98</v>
      </c>
      <c r="K105" s="10" t="s">
        <v>99</v>
      </c>
      <c r="L105" s="10" t="s">
        <v>6</v>
      </c>
      <c r="M105" s="10" t="s">
        <v>48</v>
      </c>
      <c r="N105" s="13">
        <v>44285</v>
      </c>
      <c r="O105" s="13" t="s">
        <v>75</v>
      </c>
      <c r="P105" s="8">
        <v>17760.8</v>
      </c>
      <c r="Q105" s="20">
        <v>44295</v>
      </c>
    </row>
    <row r="106" spans="1:17" ht="81.599999999999994" x14ac:dyDescent="0.3">
      <c r="A106" s="21">
        <v>29</v>
      </c>
      <c r="B106" s="10" t="s">
        <v>0</v>
      </c>
      <c r="C106" s="10" t="s">
        <v>1</v>
      </c>
      <c r="D106" s="10" t="s">
        <v>86</v>
      </c>
      <c r="E106" s="10" t="s">
        <v>100</v>
      </c>
      <c r="F106" s="13">
        <v>44284</v>
      </c>
      <c r="G106" s="10" t="s">
        <v>93</v>
      </c>
      <c r="H106" s="8">
        <v>33258</v>
      </c>
      <c r="I106" s="22">
        <f>IF(U106 = 33, H106 + SUM(#REF!) - SUM(#REF!) - SUM(P106:P106) - S106,0)</f>
        <v>0</v>
      </c>
      <c r="J106" s="10" t="s">
        <v>57</v>
      </c>
      <c r="K106" s="10" t="s">
        <v>58</v>
      </c>
      <c r="L106" s="10" t="s">
        <v>6</v>
      </c>
      <c r="M106" s="10" t="s">
        <v>48</v>
      </c>
      <c r="N106" s="13">
        <v>44292</v>
      </c>
      <c r="O106" s="13" t="s">
        <v>8</v>
      </c>
      <c r="P106" s="8">
        <v>33258</v>
      </c>
      <c r="Q106" s="20">
        <v>44298</v>
      </c>
    </row>
    <row r="107" spans="1:17" ht="61.2" x14ac:dyDescent="0.3">
      <c r="A107" s="21">
        <v>30</v>
      </c>
      <c r="B107" s="10" t="s">
        <v>0</v>
      </c>
      <c r="C107" s="10" t="s">
        <v>1</v>
      </c>
      <c r="D107" s="10" t="s">
        <v>86</v>
      </c>
      <c r="E107" s="10" t="s">
        <v>101</v>
      </c>
      <c r="F107" s="13">
        <v>44291</v>
      </c>
      <c r="G107" s="10" t="s">
        <v>102</v>
      </c>
      <c r="H107" s="8">
        <v>31095</v>
      </c>
      <c r="I107" s="22">
        <f>IF(U107 = 34, H107 + SUM(#REF!) - SUM(#REF!) - SUM(P107:P107) - S107,0)</f>
        <v>0</v>
      </c>
      <c r="J107" s="10" t="s">
        <v>98</v>
      </c>
      <c r="K107" s="10" t="s">
        <v>99</v>
      </c>
      <c r="L107" s="10" t="s">
        <v>6</v>
      </c>
      <c r="M107" s="10" t="s">
        <v>48</v>
      </c>
      <c r="N107" s="13">
        <v>44291</v>
      </c>
      <c r="O107" s="13" t="s">
        <v>75</v>
      </c>
      <c r="P107" s="8">
        <v>31095</v>
      </c>
      <c r="Q107" s="20">
        <v>44300</v>
      </c>
    </row>
    <row r="108" spans="1:17" ht="81.599999999999994" x14ac:dyDescent="0.3">
      <c r="A108" s="21">
        <v>31</v>
      </c>
      <c r="B108" s="10" t="s">
        <v>59</v>
      </c>
      <c r="C108" s="10" t="s">
        <v>1</v>
      </c>
      <c r="D108" s="10"/>
      <c r="E108" s="10" t="s">
        <v>103</v>
      </c>
      <c r="F108" s="13">
        <v>44287</v>
      </c>
      <c r="G108" s="10" t="s">
        <v>104</v>
      </c>
      <c r="H108" s="8">
        <v>28840</v>
      </c>
      <c r="I108" s="22">
        <f>IF(U108 = 35, H108 + SUM(#REF!) - SUM(#REF!) - SUM(P108:P108) - S108,0)</f>
        <v>0</v>
      </c>
      <c r="J108" s="10" t="s">
        <v>105</v>
      </c>
      <c r="K108" s="10" t="s">
        <v>106</v>
      </c>
      <c r="L108" s="10" t="s">
        <v>6</v>
      </c>
      <c r="M108" s="10" t="s">
        <v>48</v>
      </c>
      <c r="N108" s="13">
        <v>44305</v>
      </c>
      <c r="O108" s="13" t="s">
        <v>8</v>
      </c>
      <c r="P108" s="8">
        <v>28840</v>
      </c>
      <c r="Q108" s="20">
        <v>44308</v>
      </c>
    </row>
    <row r="109" spans="1:17" ht="61.2" x14ac:dyDescent="0.3">
      <c r="A109" s="21">
        <v>32</v>
      </c>
      <c r="B109" s="10" t="s">
        <v>0</v>
      </c>
      <c r="C109" s="10" t="s">
        <v>1</v>
      </c>
      <c r="D109" s="10"/>
      <c r="E109" s="10" t="s">
        <v>107</v>
      </c>
      <c r="F109" s="13">
        <v>44278</v>
      </c>
      <c r="G109" s="10" t="s">
        <v>108</v>
      </c>
      <c r="H109" s="8">
        <v>19990</v>
      </c>
      <c r="I109" s="22">
        <f>IF(U109 = 36, H109 + SUM(#REF!) - SUM(#REF!) - SUM(P109:P109) - S109,0)</f>
        <v>0</v>
      </c>
      <c r="J109" s="10" t="s">
        <v>109</v>
      </c>
      <c r="K109" s="10" t="s">
        <v>110</v>
      </c>
      <c r="L109" s="10"/>
      <c r="M109" s="10" t="s">
        <v>48</v>
      </c>
      <c r="N109" s="13">
        <v>44281</v>
      </c>
      <c r="O109" s="13" t="s">
        <v>75</v>
      </c>
      <c r="P109" s="8">
        <v>19990</v>
      </c>
      <c r="Q109" s="20">
        <v>44308</v>
      </c>
    </row>
    <row r="110" spans="1:17" ht="81.599999999999994" x14ac:dyDescent="0.3">
      <c r="A110" s="21">
        <v>33</v>
      </c>
      <c r="B110" s="10" t="s">
        <v>0</v>
      </c>
      <c r="C110" s="10" t="s">
        <v>6</v>
      </c>
      <c r="D110" s="10" t="s">
        <v>86</v>
      </c>
      <c r="E110" s="10" t="s">
        <v>111</v>
      </c>
      <c r="F110" s="13">
        <v>44333</v>
      </c>
      <c r="G110" s="10" t="s">
        <v>112</v>
      </c>
      <c r="H110" s="8">
        <v>18864</v>
      </c>
      <c r="I110" s="22">
        <f>IF(U110 = 37, H110 + SUM(#REF!) - SUM(#REF!) - SUM(P110:P110) - S110,0)</f>
        <v>0</v>
      </c>
      <c r="J110" s="10" t="s">
        <v>113</v>
      </c>
      <c r="K110" s="10" t="s">
        <v>114</v>
      </c>
      <c r="L110" s="10"/>
      <c r="M110" s="10" t="s">
        <v>115</v>
      </c>
      <c r="N110" s="13">
        <v>44335</v>
      </c>
      <c r="O110" s="13" t="s">
        <v>75</v>
      </c>
      <c r="P110" s="8">
        <v>18864</v>
      </c>
      <c r="Q110" s="20">
        <v>44337</v>
      </c>
    </row>
    <row r="111" spans="1:17" ht="102" x14ac:dyDescent="0.3">
      <c r="A111" s="21">
        <v>34</v>
      </c>
      <c r="B111" s="10" t="s">
        <v>0</v>
      </c>
      <c r="C111" s="10" t="s">
        <v>1</v>
      </c>
      <c r="D111" s="10" t="s">
        <v>86</v>
      </c>
      <c r="E111" s="10" t="s">
        <v>116</v>
      </c>
      <c r="F111" s="13">
        <v>44286</v>
      </c>
      <c r="G111" s="10" t="s">
        <v>117</v>
      </c>
      <c r="H111" s="8">
        <v>595244</v>
      </c>
      <c r="I111" s="22">
        <f>IF(U111 = 38, H111 + SUM(#REF!) - SUM(#REF!) - SUM(P111:P111) - S111,0)</f>
        <v>0</v>
      </c>
      <c r="J111" s="10" t="s">
        <v>118</v>
      </c>
      <c r="K111" s="10" t="s">
        <v>119</v>
      </c>
      <c r="L111" s="10"/>
      <c r="M111" s="10" t="s">
        <v>120</v>
      </c>
      <c r="N111" s="13">
        <v>44312</v>
      </c>
      <c r="O111" s="13" t="s">
        <v>121</v>
      </c>
      <c r="P111" s="8">
        <v>595244</v>
      </c>
      <c r="Q111" s="20">
        <v>44341</v>
      </c>
    </row>
    <row r="112" spans="1:17" ht="81.599999999999994" x14ac:dyDescent="0.3">
      <c r="A112" s="21">
        <v>35</v>
      </c>
      <c r="B112" s="10" t="s">
        <v>0</v>
      </c>
      <c r="C112" s="10" t="s">
        <v>1</v>
      </c>
      <c r="D112" s="10" t="s">
        <v>86</v>
      </c>
      <c r="E112" s="10" t="s">
        <v>122</v>
      </c>
      <c r="F112" s="13">
        <v>44314</v>
      </c>
      <c r="G112" s="10" t="s">
        <v>123</v>
      </c>
      <c r="H112" s="8">
        <v>1000</v>
      </c>
      <c r="I112" s="22">
        <f>IF(U112 = 39, H112 + SUM(#REF!) - SUM(#REF!) - SUM(P112:P112) - S112,0)</f>
        <v>0</v>
      </c>
      <c r="J112" s="10" t="s">
        <v>124</v>
      </c>
      <c r="K112" s="10" t="s">
        <v>125</v>
      </c>
      <c r="L112" s="10"/>
      <c r="M112" s="10" t="s">
        <v>48</v>
      </c>
      <c r="N112" s="13">
        <v>44333</v>
      </c>
      <c r="O112" s="13" t="s">
        <v>8</v>
      </c>
      <c r="P112" s="8">
        <v>1000</v>
      </c>
      <c r="Q112" s="20">
        <v>44340</v>
      </c>
    </row>
    <row r="113" spans="1:17" ht="81.599999999999994" x14ac:dyDescent="0.3">
      <c r="A113" s="21">
        <v>36</v>
      </c>
      <c r="B113" s="10" t="s">
        <v>0</v>
      </c>
      <c r="C113" s="10" t="s">
        <v>1</v>
      </c>
      <c r="D113" s="10" t="s">
        <v>86</v>
      </c>
      <c r="E113" s="10" t="s">
        <v>126</v>
      </c>
      <c r="F113" s="13">
        <v>44315</v>
      </c>
      <c r="G113" s="10" t="s">
        <v>127</v>
      </c>
      <c r="H113" s="8">
        <v>418719</v>
      </c>
      <c r="I113" s="22">
        <f>IF(U113 = 40, H113 + SUM(#REF!) - SUM(#REF!) - SUM(P113:P113) - S113,0)</f>
        <v>0</v>
      </c>
      <c r="J113" s="10" t="s">
        <v>105</v>
      </c>
      <c r="K113" s="10" t="s">
        <v>106</v>
      </c>
      <c r="L113" s="10" t="s">
        <v>6</v>
      </c>
      <c r="M113" s="10" t="s">
        <v>128</v>
      </c>
      <c r="N113" s="13">
        <v>44334</v>
      </c>
      <c r="O113" s="13" t="s">
        <v>8</v>
      </c>
      <c r="P113" s="8">
        <v>418719</v>
      </c>
      <c r="Q113" s="20">
        <v>44349</v>
      </c>
    </row>
    <row r="114" spans="1:17" ht="81.599999999999994" x14ac:dyDescent="0.3">
      <c r="A114" s="21">
        <v>37</v>
      </c>
      <c r="B114" s="10" t="s">
        <v>0</v>
      </c>
      <c r="C114" s="10" t="s">
        <v>1</v>
      </c>
      <c r="D114" s="10" t="s">
        <v>86</v>
      </c>
      <c r="E114" s="10" t="s">
        <v>129</v>
      </c>
      <c r="F114" s="13">
        <v>44305</v>
      </c>
      <c r="G114" s="10" t="s">
        <v>130</v>
      </c>
      <c r="H114" s="8">
        <v>41682</v>
      </c>
      <c r="I114" s="22">
        <f>IF(U114 = 41, H114 + SUM(#REF!) - SUM(#REF!) - SUM(P114:P114) - S114,0)</f>
        <v>0</v>
      </c>
      <c r="J114" s="10" t="s">
        <v>131</v>
      </c>
      <c r="K114" s="10" t="s">
        <v>132</v>
      </c>
      <c r="L114" s="10"/>
      <c r="M114" s="10"/>
      <c r="N114" s="13">
        <v>44343</v>
      </c>
      <c r="O114" s="13" t="s">
        <v>8</v>
      </c>
      <c r="P114" s="8">
        <v>41682</v>
      </c>
      <c r="Q114" s="20">
        <v>44412</v>
      </c>
    </row>
    <row r="115" spans="1:17" ht="61.2" x14ac:dyDescent="0.3">
      <c r="A115" s="21">
        <v>38</v>
      </c>
      <c r="B115" s="10" t="s">
        <v>59</v>
      </c>
      <c r="C115" s="10" t="s">
        <v>1</v>
      </c>
      <c r="D115" s="10"/>
      <c r="E115" s="10" t="s">
        <v>133</v>
      </c>
      <c r="F115" s="13">
        <v>44330</v>
      </c>
      <c r="G115" s="10" t="s">
        <v>78</v>
      </c>
      <c r="H115" s="8">
        <v>10756.7</v>
      </c>
      <c r="I115" s="22">
        <f>IF(U115 = 42, H115 + SUM(#REF!) - SUM(#REF!) - SUM(P115:P115) - S115,0)</f>
        <v>0</v>
      </c>
      <c r="J115" s="10" t="s">
        <v>79</v>
      </c>
      <c r="K115" s="10" t="s">
        <v>80</v>
      </c>
      <c r="L115" s="10" t="s">
        <v>6</v>
      </c>
      <c r="M115" s="10" t="s">
        <v>48</v>
      </c>
      <c r="N115" s="13">
        <v>44330</v>
      </c>
      <c r="O115" s="13" t="s">
        <v>75</v>
      </c>
      <c r="P115" s="8">
        <v>10756.7</v>
      </c>
      <c r="Q115" s="20">
        <v>44349</v>
      </c>
    </row>
    <row r="116" spans="1:17" ht="102" x14ac:dyDescent="0.3">
      <c r="A116" s="21">
        <v>39</v>
      </c>
      <c r="B116" s="10" t="s">
        <v>59</v>
      </c>
      <c r="C116" s="10" t="s">
        <v>1</v>
      </c>
      <c r="D116" s="10"/>
      <c r="E116" s="10" t="s">
        <v>134</v>
      </c>
      <c r="F116" s="13">
        <v>44364</v>
      </c>
      <c r="G116" s="10" t="s">
        <v>135</v>
      </c>
      <c r="H116" s="8">
        <v>19400</v>
      </c>
      <c r="I116" s="22">
        <f>IF(U116 = 43, H116 + SUM(#REF!) - SUM(#REF!) - SUM(P116:P116) - S116,0)</f>
        <v>0</v>
      </c>
      <c r="J116" s="10" t="s">
        <v>136</v>
      </c>
      <c r="K116" s="10" t="s">
        <v>137</v>
      </c>
      <c r="L116" s="10" t="s">
        <v>6</v>
      </c>
      <c r="M116" s="10" t="s">
        <v>138</v>
      </c>
      <c r="N116" s="13">
        <v>44364</v>
      </c>
      <c r="O116" s="13" t="s">
        <v>75</v>
      </c>
      <c r="P116" s="8">
        <v>19400</v>
      </c>
      <c r="Q116" s="20">
        <v>44369</v>
      </c>
    </row>
    <row r="117" spans="1:17" ht="102" x14ac:dyDescent="0.3">
      <c r="A117" s="21">
        <v>40</v>
      </c>
      <c r="B117" s="10" t="s">
        <v>59</v>
      </c>
      <c r="C117" s="10" t="s">
        <v>1</v>
      </c>
      <c r="D117" s="10"/>
      <c r="E117" s="10" t="s">
        <v>139</v>
      </c>
      <c r="F117" s="13">
        <v>44348</v>
      </c>
      <c r="G117" s="10" t="s">
        <v>135</v>
      </c>
      <c r="H117" s="8">
        <v>35864</v>
      </c>
      <c r="I117" s="22">
        <f>IF(U117 = 44, H117 + SUM(#REF!) - SUM(#REF!) - SUM(P117:P117) - S117,0)</f>
        <v>0</v>
      </c>
      <c r="J117" s="10" t="s">
        <v>140</v>
      </c>
      <c r="K117" s="10" t="s">
        <v>141</v>
      </c>
      <c r="L117" s="10"/>
      <c r="M117" s="10" t="s">
        <v>142</v>
      </c>
      <c r="N117" s="13">
        <v>44355</v>
      </c>
      <c r="O117" s="13" t="s">
        <v>143</v>
      </c>
      <c r="P117" s="8">
        <v>35864</v>
      </c>
      <c r="Q117" s="20">
        <v>44369</v>
      </c>
    </row>
    <row r="118" spans="1:17" ht="102" x14ac:dyDescent="0.3">
      <c r="A118" s="21">
        <v>41</v>
      </c>
      <c r="B118" s="10" t="s">
        <v>0</v>
      </c>
      <c r="C118" s="10" t="s">
        <v>1</v>
      </c>
      <c r="D118" s="10"/>
      <c r="E118" s="10" t="s">
        <v>144</v>
      </c>
      <c r="F118" s="13">
        <v>44291</v>
      </c>
      <c r="G118" s="10" t="s">
        <v>145</v>
      </c>
      <c r="H118" s="8">
        <v>31000</v>
      </c>
      <c r="I118" s="22">
        <f>IF(U118 = 45, H118 + SUM(#REF!) - SUM(#REF!) - SUM(P118:P118) - S118,0)</f>
        <v>0</v>
      </c>
      <c r="J118" s="10" t="s">
        <v>34</v>
      </c>
      <c r="K118" s="10" t="s">
        <v>35</v>
      </c>
      <c r="L118" s="10" t="s">
        <v>6</v>
      </c>
      <c r="M118" s="10" t="s">
        <v>146</v>
      </c>
      <c r="N118" s="13">
        <v>44293</v>
      </c>
      <c r="O118" s="13" t="s">
        <v>147</v>
      </c>
      <c r="P118" s="8">
        <v>31000</v>
      </c>
      <c r="Q118" s="20">
        <v>44369</v>
      </c>
    </row>
    <row r="119" spans="1:17" ht="81.599999999999994" x14ac:dyDescent="0.3">
      <c r="A119" s="21">
        <v>42</v>
      </c>
      <c r="B119" s="10" t="s">
        <v>59</v>
      </c>
      <c r="C119" s="10" t="s">
        <v>1</v>
      </c>
      <c r="D119" s="10"/>
      <c r="E119" s="10" t="s">
        <v>9</v>
      </c>
      <c r="F119" s="13">
        <v>44370</v>
      </c>
      <c r="G119" s="10" t="s">
        <v>148</v>
      </c>
      <c r="H119" s="8">
        <v>23940</v>
      </c>
      <c r="I119" s="22">
        <f>IF(U119 = 46, H119 + SUM(#REF!) - SUM(#REF!) - SUM(P119:P119) - S119,0)</f>
        <v>0</v>
      </c>
      <c r="J119" s="10" t="s">
        <v>61</v>
      </c>
      <c r="K119" s="10" t="s">
        <v>62</v>
      </c>
      <c r="L119" s="10" t="s">
        <v>1</v>
      </c>
      <c r="M119" s="10" t="s">
        <v>149</v>
      </c>
      <c r="N119" s="13">
        <v>44370</v>
      </c>
      <c r="O119" s="13" t="s">
        <v>8</v>
      </c>
      <c r="P119" s="8">
        <v>23940</v>
      </c>
      <c r="Q119" s="20">
        <v>44376</v>
      </c>
    </row>
    <row r="120" spans="1:17" ht="102" x14ac:dyDescent="0.3">
      <c r="A120" s="21">
        <v>43</v>
      </c>
      <c r="B120" s="10" t="s">
        <v>59</v>
      </c>
      <c r="C120" s="10" t="s">
        <v>1</v>
      </c>
      <c r="D120" s="10"/>
      <c r="E120" s="10" t="s">
        <v>150</v>
      </c>
      <c r="F120" s="13">
        <v>44365</v>
      </c>
      <c r="G120" s="10" t="s">
        <v>151</v>
      </c>
      <c r="H120" s="8">
        <v>16300</v>
      </c>
      <c r="I120" s="22">
        <f>IF(U120 = 47, H120 + SUM(#REF!) - SUM(#REF!) - SUM(P120:P120) - S120,0)</f>
        <v>0</v>
      </c>
      <c r="J120" s="10" t="s">
        <v>140</v>
      </c>
      <c r="K120" s="10" t="s">
        <v>141</v>
      </c>
      <c r="L120" s="10"/>
      <c r="M120" s="10" t="s">
        <v>142</v>
      </c>
      <c r="N120" s="13">
        <v>44383</v>
      </c>
      <c r="O120" s="13" t="s">
        <v>147</v>
      </c>
      <c r="P120" s="8">
        <v>16300</v>
      </c>
      <c r="Q120" s="20">
        <v>44396</v>
      </c>
    </row>
    <row r="121" spans="1:17" ht="81.599999999999994" x14ac:dyDescent="0.3">
      <c r="A121" s="21">
        <v>44</v>
      </c>
      <c r="B121" s="10" t="s">
        <v>0</v>
      </c>
      <c r="C121" s="10" t="s">
        <v>1</v>
      </c>
      <c r="D121" s="10"/>
      <c r="E121" s="10" t="s">
        <v>152</v>
      </c>
      <c r="F121" s="13">
        <v>44336</v>
      </c>
      <c r="G121" s="10" t="s">
        <v>153</v>
      </c>
      <c r="H121" s="8">
        <v>7500</v>
      </c>
      <c r="I121" s="22">
        <f>IF(U121 = 48, H121 + SUM(#REF!) - SUM(#REF!) - SUM(P121:P121) - S121,0)</f>
        <v>0</v>
      </c>
      <c r="J121" s="10" t="s">
        <v>154</v>
      </c>
      <c r="K121" s="10" t="s">
        <v>155</v>
      </c>
      <c r="L121" s="10"/>
      <c r="M121" s="10"/>
      <c r="N121" s="13">
        <v>44336</v>
      </c>
      <c r="O121" s="13" t="s">
        <v>156</v>
      </c>
      <c r="P121" s="8">
        <v>7500</v>
      </c>
      <c r="Q121" s="20">
        <v>44400</v>
      </c>
    </row>
    <row r="122" spans="1:17" ht="81.599999999999994" x14ac:dyDescent="0.3">
      <c r="A122" s="21">
        <v>45</v>
      </c>
      <c r="B122" s="10" t="s">
        <v>0</v>
      </c>
      <c r="C122" s="10" t="s">
        <v>1</v>
      </c>
      <c r="D122" s="10"/>
      <c r="E122" s="10" t="s">
        <v>157</v>
      </c>
      <c r="F122" s="13">
        <v>44328</v>
      </c>
      <c r="G122" s="10" t="s">
        <v>158</v>
      </c>
      <c r="H122" s="8">
        <v>1600</v>
      </c>
      <c r="I122" s="22">
        <f>IF(U122 = 49, H122 + SUM(#REF!) - SUM(#REF!) - SUM(P122:P122) - S122,0)</f>
        <v>0</v>
      </c>
      <c r="J122" s="10" t="s">
        <v>159</v>
      </c>
      <c r="K122" s="10" t="s">
        <v>160</v>
      </c>
      <c r="L122" s="10"/>
      <c r="M122" s="10" t="s">
        <v>161</v>
      </c>
      <c r="N122" s="13">
        <v>44328</v>
      </c>
      <c r="O122" s="13" t="s">
        <v>162</v>
      </c>
      <c r="P122" s="8">
        <v>1600</v>
      </c>
      <c r="Q122" s="20">
        <v>44400</v>
      </c>
    </row>
    <row r="123" spans="1:17" ht="81.599999999999994" x14ac:dyDescent="0.3">
      <c r="A123" s="21">
        <v>46</v>
      </c>
      <c r="B123" s="10" t="s">
        <v>0</v>
      </c>
      <c r="C123" s="10" t="s">
        <v>1</v>
      </c>
      <c r="D123" s="10"/>
      <c r="E123" s="10" t="s">
        <v>163</v>
      </c>
      <c r="F123" s="13">
        <v>44362</v>
      </c>
      <c r="G123" s="10" t="s">
        <v>93</v>
      </c>
      <c r="H123" s="8">
        <v>77009.5</v>
      </c>
      <c r="I123" s="22">
        <f>IF(U123 = 50, H123 + SUM(#REF!) - SUM(#REF!) - SUM(P123:P123) - S123,0)</f>
        <v>0</v>
      </c>
      <c r="J123" s="10" t="s">
        <v>57</v>
      </c>
      <c r="K123" s="10" t="s">
        <v>58</v>
      </c>
      <c r="L123" s="10" t="s">
        <v>6</v>
      </c>
      <c r="M123" s="10" t="s">
        <v>48</v>
      </c>
      <c r="N123" s="13">
        <v>44372</v>
      </c>
      <c r="O123" s="13" t="s">
        <v>162</v>
      </c>
      <c r="P123" s="8">
        <v>77009.5</v>
      </c>
      <c r="Q123" s="20">
        <v>44400</v>
      </c>
    </row>
    <row r="124" spans="1:17" ht="61.2" x14ac:dyDescent="0.3">
      <c r="A124" s="21">
        <v>47</v>
      </c>
      <c r="B124" s="10" t="s">
        <v>0</v>
      </c>
      <c r="C124" s="10" t="s">
        <v>1</v>
      </c>
      <c r="D124" s="10"/>
      <c r="E124" s="10" t="s">
        <v>164</v>
      </c>
      <c r="F124" s="13">
        <v>44300</v>
      </c>
      <c r="G124" s="10" t="s">
        <v>165</v>
      </c>
      <c r="H124" s="8">
        <v>2966</v>
      </c>
      <c r="I124" s="22">
        <f>IF(U124 = 51, H124 + SUM(#REF!) - SUM(#REF!) - SUM(P124:P124) - S124,0)</f>
        <v>0</v>
      </c>
      <c r="J124" s="10" t="s">
        <v>166</v>
      </c>
      <c r="K124" s="10" t="s">
        <v>167</v>
      </c>
      <c r="L124" s="10" t="s">
        <v>1</v>
      </c>
      <c r="M124" s="10" t="s">
        <v>168</v>
      </c>
      <c r="N124" s="13">
        <v>44363</v>
      </c>
      <c r="O124" s="13" t="s">
        <v>75</v>
      </c>
      <c r="P124" s="8">
        <v>2966</v>
      </c>
      <c r="Q124" s="20">
        <v>44400</v>
      </c>
    </row>
    <row r="125" spans="1:17" ht="40.799999999999997" x14ac:dyDescent="0.3">
      <c r="A125" s="21">
        <v>48</v>
      </c>
      <c r="B125" s="10" t="s">
        <v>0</v>
      </c>
      <c r="C125" s="10" t="s">
        <v>1</v>
      </c>
      <c r="D125" s="10"/>
      <c r="E125" s="10" t="s">
        <v>169</v>
      </c>
      <c r="F125" s="13">
        <v>44391</v>
      </c>
      <c r="G125" s="10" t="s">
        <v>170</v>
      </c>
      <c r="H125" s="8">
        <v>6725.24</v>
      </c>
      <c r="I125" s="22">
        <f>IF(U125 = 52, H125 + SUM(#REF!) - SUM(#REF!) - SUM(P125:P125) - S125,0)</f>
        <v>0</v>
      </c>
      <c r="J125" s="10" t="s">
        <v>171</v>
      </c>
      <c r="K125" s="10" t="s">
        <v>172</v>
      </c>
      <c r="L125" s="10" t="s">
        <v>1</v>
      </c>
      <c r="M125" s="10" t="s">
        <v>173</v>
      </c>
      <c r="N125" s="13"/>
      <c r="O125" s="13" t="s">
        <v>174</v>
      </c>
      <c r="P125" s="8">
        <v>6725.24</v>
      </c>
      <c r="Q125" s="20">
        <v>44400</v>
      </c>
    </row>
    <row r="126" spans="1:17" ht="81.599999999999994" x14ac:dyDescent="0.3">
      <c r="A126" s="21">
        <v>49</v>
      </c>
      <c r="B126" s="10" t="s">
        <v>0</v>
      </c>
      <c r="C126" s="10" t="s">
        <v>1</v>
      </c>
      <c r="D126" s="10"/>
      <c r="E126" s="10" t="s">
        <v>175</v>
      </c>
      <c r="F126" s="13">
        <v>44372</v>
      </c>
      <c r="G126" s="10" t="s">
        <v>176</v>
      </c>
      <c r="H126" s="8">
        <v>15000</v>
      </c>
      <c r="I126" s="22">
        <f>IF(U126 = 53, H126 + SUM(#REF!) - SUM(#REF!) - SUM(P126:P126) - S126,0)</f>
        <v>0</v>
      </c>
      <c r="J126" s="10" t="s">
        <v>177</v>
      </c>
      <c r="K126" s="10" t="s">
        <v>178</v>
      </c>
      <c r="L126" s="10" t="s">
        <v>6</v>
      </c>
      <c r="M126" s="10"/>
      <c r="N126" s="13">
        <v>44372</v>
      </c>
      <c r="O126" s="13" t="s">
        <v>162</v>
      </c>
      <c r="P126" s="8">
        <v>15000</v>
      </c>
      <c r="Q126" s="20">
        <v>44412</v>
      </c>
    </row>
    <row r="127" spans="1:17" ht="81.599999999999994" x14ac:dyDescent="0.3">
      <c r="A127" s="21">
        <v>50</v>
      </c>
      <c r="B127" s="10" t="s">
        <v>0</v>
      </c>
      <c r="C127" s="10" t="s">
        <v>1</v>
      </c>
      <c r="D127" s="10"/>
      <c r="E127" s="10" t="s">
        <v>179</v>
      </c>
      <c r="F127" s="13">
        <v>44412</v>
      </c>
      <c r="G127" s="10" t="s">
        <v>64</v>
      </c>
      <c r="H127" s="8">
        <v>3015</v>
      </c>
      <c r="I127" s="22">
        <f>IF(U127 = 54, H127 + SUM(#REF!) - SUM(#REF!) - SUM(P127:P127) - S127,0)</f>
        <v>0</v>
      </c>
      <c r="J127" s="10" t="s">
        <v>180</v>
      </c>
      <c r="K127" s="10" t="s">
        <v>181</v>
      </c>
      <c r="L127" s="10" t="s">
        <v>6</v>
      </c>
      <c r="M127" s="10"/>
      <c r="N127" s="13">
        <v>44412</v>
      </c>
      <c r="O127" s="13" t="s">
        <v>162</v>
      </c>
      <c r="P127" s="8">
        <v>3015</v>
      </c>
      <c r="Q127" s="20">
        <v>44414</v>
      </c>
    </row>
    <row r="128" spans="1:17" ht="61.2" x14ac:dyDescent="0.3">
      <c r="A128" s="21">
        <v>51</v>
      </c>
      <c r="B128" s="10" t="s">
        <v>0</v>
      </c>
      <c r="C128" s="10" t="s">
        <v>1</v>
      </c>
      <c r="D128" s="10"/>
      <c r="E128" s="10" t="s">
        <v>182</v>
      </c>
      <c r="F128" s="13">
        <v>44393</v>
      </c>
      <c r="G128" s="10" t="s">
        <v>183</v>
      </c>
      <c r="H128" s="8">
        <v>7650</v>
      </c>
      <c r="I128" s="22">
        <f>IF(U128 = 55, H128 + SUM(#REF!) - SUM(#REF!) - SUM(P128:P128) - S128,0)</f>
        <v>0</v>
      </c>
      <c r="J128" s="10" t="s">
        <v>177</v>
      </c>
      <c r="K128" s="10" t="s">
        <v>178</v>
      </c>
      <c r="L128" s="10" t="s">
        <v>6</v>
      </c>
      <c r="M128" s="10"/>
      <c r="N128" s="13">
        <v>44393</v>
      </c>
      <c r="O128" s="13" t="s">
        <v>75</v>
      </c>
      <c r="P128" s="8">
        <v>7650</v>
      </c>
      <c r="Q128" s="20">
        <v>44414</v>
      </c>
    </row>
    <row r="129" spans="1:17" ht="81.599999999999994" x14ac:dyDescent="0.3">
      <c r="A129" s="21">
        <v>52</v>
      </c>
      <c r="B129" s="10" t="s">
        <v>0</v>
      </c>
      <c r="C129" s="10" t="s">
        <v>1</v>
      </c>
      <c r="D129" s="10"/>
      <c r="E129" s="10" t="s">
        <v>184</v>
      </c>
      <c r="F129" s="13">
        <v>44431</v>
      </c>
      <c r="G129" s="10" t="s">
        <v>185</v>
      </c>
      <c r="H129" s="8">
        <v>8000</v>
      </c>
      <c r="I129" s="22">
        <f>IF(U129 = 56, H129 + SUM(#REF!) - SUM(#REF!) - SUM(P129:P129) - S129,0)</f>
        <v>0</v>
      </c>
      <c r="J129" s="10" t="s">
        <v>186</v>
      </c>
      <c r="K129" s="10" t="s">
        <v>187</v>
      </c>
      <c r="L129" s="10"/>
      <c r="M129" s="10" t="s">
        <v>48</v>
      </c>
      <c r="N129" s="13">
        <v>44445</v>
      </c>
      <c r="O129" s="13" t="s">
        <v>162</v>
      </c>
      <c r="P129" s="8">
        <v>8000</v>
      </c>
      <c r="Q129" s="20">
        <v>44447</v>
      </c>
    </row>
    <row r="130" spans="1:17" ht="81.599999999999994" x14ac:dyDescent="0.3">
      <c r="A130" s="21">
        <v>53</v>
      </c>
      <c r="B130" s="10" t="s">
        <v>0</v>
      </c>
      <c r="C130" s="10" t="s">
        <v>1</v>
      </c>
      <c r="D130" s="10"/>
      <c r="E130" s="10" t="s">
        <v>188</v>
      </c>
      <c r="F130" s="13">
        <v>44431</v>
      </c>
      <c r="G130" s="10" t="s">
        <v>52</v>
      </c>
      <c r="H130" s="8">
        <v>16630.919999999998</v>
      </c>
      <c r="I130" s="22">
        <f>IF(U130 = 57, H130 + SUM(#REF!) - SUM(#REF!) - SUM(P130:P130) - S130,0)</f>
        <v>0</v>
      </c>
      <c r="J130" s="10" t="s">
        <v>53</v>
      </c>
      <c r="K130" s="10" t="s">
        <v>54</v>
      </c>
      <c r="L130" s="10"/>
      <c r="M130" s="10"/>
      <c r="N130" s="13">
        <v>44431</v>
      </c>
      <c r="O130" s="13" t="s">
        <v>162</v>
      </c>
      <c r="P130" s="8">
        <v>16630.919999999998</v>
      </c>
      <c r="Q130" s="20">
        <v>44434</v>
      </c>
    </row>
    <row r="131" spans="1:17" ht="61.2" x14ac:dyDescent="0.3">
      <c r="A131" s="21">
        <v>54</v>
      </c>
      <c r="B131" s="10" t="s">
        <v>0</v>
      </c>
      <c r="C131" s="10" t="s">
        <v>1</v>
      </c>
      <c r="D131" s="10"/>
      <c r="E131" s="10" t="s">
        <v>189</v>
      </c>
      <c r="F131" s="13">
        <v>44433</v>
      </c>
      <c r="G131" s="10" t="s">
        <v>190</v>
      </c>
      <c r="H131" s="8">
        <v>17725</v>
      </c>
      <c r="I131" s="22">
        <f>IF(U131 = 58, H131 + SUM(#REF!) - SUM(#REF!) - SUM(P131:P131) - S131,0)</f>
        <v>0</v>
      </c>
      <c r="J131" s="10" t="s">
        <v>109</v>
      </c>
      <c r="K131" s="10" t="s">
        <v>110</v>
      </c>
      <c r="L131" s="10"/>
      <c r="M131" s="10" t="s">
        <v>48</v>
      </c>
      <c r="N131" s="13">
        <v>44433</v>
      </c>
      <c r="O131" s="13" t="s">
        <v>75</v>
      </c>
      <c r="P131" s="8">
        <v>17725</v>
      </c>
      <c r="Q131" s="20">
        <v>44438</v>
      </c>
    </row>
    <row r="132" spans="1:17" x14ac:dyDescent="0.3">
      <c r="A132" s="1">
        <v>55</v>
      </c>
      <c r="B132" s="2" t="s">
        <v>0</v>
      </c>
      <c r="C132" s="2" t="s">
        <v>1</v>
      </c>
      <c r="D132" s="2"/>
      <c r="E132" s="2" t="s">
        <v>191</v>
      </c>
      <c r="F132" s="4">
        <v>44378</v>
      </c>
      <c r="G132" s="2" t="s">
        <v>192</v>
      </c>
      <c r="H132" s="5">
        <v>47400</v>
      </c>
      <c r="I132" s="6">
        <f>IF(U132 = 59, H132 + SUM(#REF!) - SUM(#REF!) - SUM(P132:P134) - S132,0)</f>
        <v>0</v>
      </c>
      <c r="J132" s="2" t="s">
        <v>193</v>
      </c>
      <c r="K132" s="2" t="s">
        <v>194</v>
      </c>
      <c r="L132" s="2"/>
      <c r="M132" s="2" t="s">
        <v>195</v>
      </c>
      <c r="N132" s="13">
        <v>44408</v>
      </c>
      <c r="O132" s="4" t="s">
        <v>162</v>
      </c>
      <c r="P132" s="8">
        <v>7900</v>
      </c>
      <c r="Q132" s="20">
        <v>44459</v>
      </c>
    </row>
    <row r="133" spans="1:17" x14ac:dyDescent="0.3">
      <c r="A133" s="1"/>
      <c r="B133" s="2"/>
      <c r="C133" s="2"/>
      <c r="D133" s="2"/>
      <c r="E133" s="2"/>
      <c r="F133" s="4"/>
      <c r="G133" s="2"/>
      <c r="H133" s="5"/>
      <c r="I133" s="6"/>
      <c r="J133" s="2"/>
      <c r="K133" s="2"/>
      <c r="L133" s="2"/>
      <c r="M133" s="2"/>
      <c r="N133" s="7">
        <v>44439</v>
      </c>
      <c r="O133" s="4"/>
      <c r="P133" s="11">
        <v>7900</v>
      </c>
      <c r="Q133" s="9">
        <v>44459</v>
      </c>
    </row>
    <row r="134" spans="1:17" x14ac:dyDescent="0.3">
      <c r="A134" s="1"/>
      <c r="B134" s="2"/>
      <c r="C134" s="2"/>
      <c r="D134" s="2"/>
      <c r="E134" s="2"/>
      <c r="F134" s="4"/>
      <c r="G134" s="2"/>
      <c r="H134" s="5"/>
      <c r="I134" s="6"/>
      <c r="J134" s="2"/>
      <c r="K134" s="2"/>
      <c r="L134" s="2"/>
      <c r="M134" s="2"/>
      <c r="N134" s="7">
        <v>44469</v>
      </c>
      <c r="O134" s="4"/>
      <c r="P134" s="11">
        <v>7900</v>
      </c>
      <c r="Q134" s="9">
        <v>44487</v>
      </c>
    </row>
    <row r="135" spans="1:17" ht="61.2" x14ac:dyDescent="0.3">
      <c r="A135" s="21">
        <v>56</v>
      </c>
      <c r="B135" s="10" t="s">
        <v>59</v>
      </c>
      <c r="C135" s="10" t="s">
        <v>1</v>
      </c>
      <c r="D135" s="10"/>
      <c r="E135" s="10" t="s">
        <v>196</v>
      </c>
      <c r="F135" s="13">
        <v>44460</v>
      </c>
      <c r="G135" s="10" t="s">
        <v>197</v>
      </c>
      <c r="H135" s="8">
        <v>2234</v>
      </c>
      <c r="I135" s="22">
        <f>IF(U135 = 60, H135 + SUM(#REF!) - SUM(#REF!) - SUM(P135:P135) - S135,0)</f>
        <v>0</v>
      </c>
      <c r="J135" s="10" t="s">
        <v>79</v>
      </c>
      <c r="K135" s="10" t="s">
        <v>80</v>
      </c>
      <c r="L135" s="10" t="s">
        <v>6</v>
      </c>
      <c r="M135" s="10" t="s">
        <v>48</v>
      </c>
      <c r="N135" s="13">
        <v>44460</v>
      </c>
      <c r="O135" s="13" t="s">
        <v>75</v>
      </c>
      <c r="P135" s="8">
        <v>2234</v>
      </c>
      <c r="Q135" s="20">
        <v>44463</v>
      </c>
    </row>
    <row r="136" spans="1:17" ht="81.599999999999994" x14ac:dyDescent="0.3">
      <c r="A136" s="21">
        <v>57</v>
      </c>
      <c r="B136" s="10" t="s">
        <v>59</v>
      </c>
      <c r="C136" s="10" t="s">
        <v>1</v>
      </c>
      <c r="D136" s="10"/>
      <c r="E136" s="10" t="s">
        <v>198</v>
      </c>
      <c r="F136" s="13">
        <v>44462</v>
      </c>
      <c r="G136" s="10" t="s">
        <v>104</v>
      </c>
      <c r="H136" s="8">
        <v>14000</v>
      </c>
      <c r="I136" s="22">
        <f>IF(U136 = 61, H136 + SUM(#REF!) - SUM(#REF!) - SUM(P136:P136) - S136,0)</f>
        <v>0</v>
      </c>
      <c r="J136" s="10" t="s">
        <v>105</v>
      </c>
      <c r="K136" s="10" t="s">
        <v>106</v>
      </c>
      <c r="L136" s="10" t="s">
        <v>6</v>
      </c>
      <c r="M136" s="10" t="s">
        <v>48</v>
      </c>
      <c r="N136" s="13">
        <v>44462</v>
      </c>
      <c r="O136" s="13" t="s">
        <v>162</v>
      </c>
      <c r="P136" s="8">
        <v>14000</v>
      </c>
      <c r="Q136" s="20">
        <v>44468</v>
      </c>
    </row>
    <row r="137" spans="1:17" ht="61.2" x14ac:dyDescent="0.3">
      <c r="A137" s="21">
        <v>58</v>
      </c>
      <c r="B137" s="10" t="s">
        <v>0</v>
      </c>
      <c r="C137" s="10" t="s">
        <v>1</v>
      </c>
      <c r="D137" s="10"/>
      <c r="E137" s="10" t="s">
        <v>199</v>
      </c>
      <c r="F137" s="13">
        <v>44442</v>
      </c>
      <c r="G137" s="10" t="s">
        <v>200</v>
      </c>
      <c r="H137" s="8">
        <v>9990</v>
      </c>
      <c r="I137" s="22">
        <f>IF(U137 = 62, H137 + SUM(#REF!) - SUM(#REF!) - SUM(P137:P137) - S137,0)</f>
        <v>0</v>
      </c>
      <c r="J137" s="10" t="s">
        <v>79</v>
      </c>
      <c r="K137" s="10" t="s">
        <v>80</v>
      </c>
      <c r="L137" s="10" t="s">
        <v>6</v>
      </c>
      <c r="M137" s="10" t="s">
        <v>48</v>
      </c>
      <c r="N137" s="13">
        <v>44442</v>
      </c>
      <c r="O137" s="13" t="s">
        <v>75</v>
      </c>
      <c r="P137" s="8">
        <v>9990</v>
      </c>
      <c r="Q137" s="20">
        <v>44459</v>
      </c>
    </row>
  </sheetData>
  <mergeCells count="196">
    <mergeCell ref="I132:I134"/>
    <mergeCell ref="J132:J134"/>
    <mergeCell ref="K132:K134"/>
    <mergeCell ref="L132:L134"/>
    <mergeCell ref="M132:M134"/>
    <mergeCell ref="O132:O134"/>
    <mergeCell ref="M88:M90"/>
    <mergeCell ref="O88:O90"/>
    <mergeCell ref="A132:A134"/>
    <mergeCell ref="B132:B134"/>
    <mergeCell ref="C132:C134"/>
    <mergeCell ref="D132:D134"/>
    <mergeCell ref="E132:E134"/>
    <mergeCell ref="F132:F134"/>
    <mergeCell ref="G132:G134"/>
    <mergeCell ref="H132:H134"/>
    <mergeCell ref="G88:G90"/>
    <mergeCell ref="H88:H90"/>
    <mergeCell ref="I88:I90"/>
    <mergeCell ref="J88:J90"/>
    <mergeCell ref="K88:K90"/>
    <mergeCell ref="L88:L90"/>
    <mergeCell ref="A88:A90"/>
    <mergeCell ref="B88:B90"/>
    <mergeCell ref="C88:C90"/>
    <mergeCell ref="D88:D90"/>
    <mergeCell ref="E88:E90"/>
    <mergeCell ref="F88:F90"/>
    <mergeCell ref="I79:I87"/>
    <mergeCell ref="J79:J87"/>
    <mergeCell ref="K79:K87"/>
    <mergeCell ref="L79:L87"/>
    <mergeCell ref="M79:M87"/>
    <mergeCell ref="O79:O87"/>
    <mergeCell ref="M70:M78"/>
    <mergeCell ref="O70:O78"/>
    <mergeCell ref="A79:A87"/>
    <mergeCell ref="B79:B87"/>
    <mergeCell ref="C79:C87"/>
    <mergeCell ref="D79:D87"/>
    <mergeCell ref="E79:E87"/>
    <mergeCell ref="F79:F87"/>
    <mergeCell ref="G79:G87"/>
    <mergeCell ref="H79:H87"/>
    <mergeCell ref="G70:G78"/>
    <mergeCell ref="H70:H78"/>
    <mergeCell ref="I70:I78"/>
    <mergeCell ref="J70:J78"/>
    <mergeCell ref="K70:K78"/>
    <mergeCell ref="L70:L78"/>
    <mergeCell ref="A70:A78"/>
    <mergeCell ref="B70:B78"/>
    <mergeCell ref="C70:C78"/>
    <mergeCell ref="D70:D78"/>
    <mergeCell ref="E70:E78"/>
    <mergeCell ref="F70:F78"/>
    <mergeCell ref="I60:I69"/>
    <mergeCell ref="J60:J69"/>
    <mergeCell ref="K60:K69"/>
    <mergeCell ref="L60:L69"/>
    <mergeCell ref="M60:M69"/>
    <mergeCell ref="O60:O69"/>
    <mergeCell ref="M51:M59"/>
    <mergeCell ref="O51:O59"/>
    <mergeCell ref="A60:A69"/>
    <mergeCell ref="B60:B69"/>
    <mergeCell ref="C60:C69"/>
    <mergeCell ref="D60:D69"/>
    <mergeCell ref="E60:E69"/>
    <mergeCell ref="F60:F69"/>
    <mergeCell ref="G60:G69"/>
    <mergeCell ref="H60:H69"/>
    <mergeCell ref="G51:G59"/>
    <mergeCell ref="H51:H59"/>
    <mergeCell ref="I51:I59"/>
    <mergeCell ref="J51:J59"/>
    <mergeCell ref="K51:K59"/>
    <mergeCell ref="L51:L59"/>
    <mergeCell ref="A51:A59"/>
    <mergeCell ref="B51:B59"/>
    <mergeCell ref="C51:C59"/>
    <mergeCell ref="D51:D59"/>
    <mergeCell ref="E51:E59"/>
    <mergeCell ref="F51:F59"/>
    <mergeCell ref="I48:I50"/>
    <mergeCell ref="J48:J50"/>
    <mergeCell ref="K48:K50"/>
    <mergeCell ref="L48:L50"/>
    <mergeCell ref="M48:M50"/>
    <mergeCell ref="O48:O50"/>
    <mergeCell ref="M45:M47"/>
    <mergeCell ref="O45:O47"/>
    <mergeCell ref="A48:A50"/>
    <mergeCell ref="B48:B50"/>
    <mergeCell ref="C48:C50"/>
    <mergeCell ref="D48:D50"/>
    <mergeCell ref="E48:E50"/>
    <mergeCell ref="F48:F50"/>
    <mergeCell ref="G48:G50"/>
    <mergeCell ref="H48:H50"/>
    <mergeCell ref="G45:G47"/>
    <mergeCell ref="H45:H47"/>
    <mergeCell ref="I45:I47"/>
    <mergeCell ref="J45:J47"/>
    <mergeCell ref="K45:K47"/>
    <mergeCell ref="L45:L47"/>
    <mergeCell ref="A45:A47"/>
    <mergeCell ref="B45:B47"/>
    <mergeCell ref="C45:C47"/>
    <mergeCell ref="D45:D47"/>
    <mergeCell ref="E45:E47"/>
    <mergeCell ref="F45:F47"/>
    <mergeCell ref="I41:I44"/>
    <mergeCell ref="J41:J44"/>
    <mergeCell ref="K41:K44"/>
    <mergeCell ref="L41:L44"/>
    <mergeCell ref="M41:M44"/>
    <mergeCell ref="O41:O44"/>
    <mergeCell ref="M35:M40"/>
    <mergeCell ref="O35:O40"/>
    <mergeCell ref="A41:A44"/>
    <mergeCell ref="B41:B44"/>
    <mergeCell ref="C41:C44"/>
    <mergeCell ref="D41:D44"/>
    <mergeCell ref="E41:E44"/>
    <mergeCell ref="F41:F44"/>
    <mergeCell ref="G41:G44"/>
    <mergeCell ref="H41:H44"/>
    <mergeCell ref="G35:G40"/>
    <mergeCell ref="H35:H40"/>
    <mergeCell ref="I35:I40"/>
    <mergeCell ref="J35:J40"/>
    <mergeCell ref="K35:K40"/>
    <mergeCell ref="L35:L40"/>
    <mergeCell ref="A35:A40"/>
    <mergeCell ref="B35:B40"/>
    <mergeCell ref="C35:C40"/>
    <mergeCell ref="D35:D40"/>
    <mergeCell ref="E35:E40"/>
    <mergeCell ref="F35:F40"/>
    <mergeCell ref="I26:I34"/>
    <mergeCell ref="J26:J34"/>
    <mergeCell ref="K26:K34"/>
    <mergeCell ref="L26:L34"/>
    <mergeCell ref="M26:M34"/>
    <mergeCell ref="O26:O34"/>
    <mergeCell ref="M19:M25"/>
    <mergeCell ref="O19:O25"/>
    <mergeCell ref="A26:A34"/>
    <mergeCell ref="B26:B34"/>
    <mergeCell ref="C26:C34"/>
    <mergeCell ref="D26:D34"/>
    <mergeCell ref="E26:E34"/>
    <mergeCell ref="F26:F34"/>
    <mergeCell ref="G26:G34"/>
    <mergeCell ref="H26:H34"/>
    <mergeCell ref="G19:G25"/>
    <mergeCell ref="H19:H25"/>
    <mergeCell ref="I19:I25"/>
    <mergeCell ref="J19:J25"/>
    <mergeCell ref="K19:K25"/>
    <mergeCell ref="L19:L25"/>
    <mergeCell ref="A19:A25"/>
    <mergeCell ref="B19:B25"/>
    <mergeCell ref="C19:C25"/>
    <mergeCell ref="D19:D25"/>
    <mergeCell ref="E19:E25"/>
    <mergeCell ref="F19:F25"/>
    <mergeCell ref="I13:I18"/>
    <mergeCell ref="J13:J18"/>
    <mergeCell ref="K13:K18"/>
    <mergeCell ref="L13:L18"/>
    <mergeCell ref="M13:M18"/>
    <mergeCell ref="O13:O18"/>
    <mergeCell ref="M4:M12"/>
    <mergeCell ref="O4:O12"/>
    <mergeCell ref="A13:A18"/>
    <mergeCell ref="B13:B18"/>
    <mergeCell ref="C13:C18"/>
    <mergeCell ref="D13:D18"/>
    <mergeCell ref="E13:E18"/>
    <mergeCell ref="F13:F18"/>
    <mergeCell ref="G13:G18"/>
    <mergeCell ref="H13:H18"/>
    <mergeCell ref="G4:G12"/>
    <mergeCell ref="H4:H12"/>
    <mergeCell ref="I4:I12"/>
    <mergeCell ref="J4:J12"/>
    <mergeCell ref="K4:K12"/>
    <mergeCell ref="L4:L12"/>
    <mergeCell ref="A4:A12"/>
    <mergeCell ref="B4:B12"/>
    <mergeCell ref="C4:C12"/>
    <mergeCell ref="D4:D12"/>
    <mergeCell ref="E4:E12"/>
    <mergeCell ref="F4:F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6"/>
  <sheetViews>
    <sheetView tabSelected="1" topLeftCell="A34" workbookViewId="0">
      <selection activeCell="K4" sqref="K4:K20"/>
    </sheetView>
  </sheetViews>
  <sheetFormatPr defaultRowHeight="14.4" x14ac:dyDescent="0.3"/>
  <cols>
    <col min="1" max="1" width="9" bestFit="1" customWidth="1"/>
    <col min="2" max="2" width="12.44140625" customWidth="1"/>
    <col min="6" max="6" width="9.6640625" bestFit="1" customWidth="1"/>
    <col min="7" max="7" width="18.77734375" customWidth="1"/>
    <col min="8" max="9" width="9" bestFit="1" customWidth="1"/>
    <col min="14" max="14" width="11.77734375" bestFit="1" customWidth="1"/>
    <col min="15" max="15" width="14" customWidth="1"/>
    <col min="16" max="16" width="9" bestFit="1" customWidth="1"/>
    <col min="17" max="17" width="15.6640625" customWidth="1"/>
  </cols>
  <sheetData>
    <row r="1" spans="1:17" ht="18" x14ac:dyDescent="0.35">
      <c r="A1" s="29" t="s">
        <v>367</v>
      </c>
    </row>
    <row r="3" spans="1:17" ht="81.599999999999994" x14ac:dyDescent="0.3">
      <c r="A3" s="28" t="s">
        <v>201</v>
      </c>
      <c r="B3" s="28" t="s">
        <v>202</v>
      </c>
      <c r="C3" s="28" t="s">
        <v>214</v>
      </c>
      <c r="D3" s="28" t="s">
        <v>368</v>
      </c>
      <c r="E3" s="28" t="s">
        <v>203</v>
      </c>
      <c r="F3" s="28" t="s">
        <v>204</v>
      </c>
      <c r="G3" s="28" t="s">
        <v>205</v>
      </c>
      <c r="H3" s="28" t="s">
        <v>206</v>
      </c>
      <c r="I3" s="28" t="s">
        <v>215</v>
      </c>
      <c r="J3" s="28" t="s">
        <v>207</v>
      </c>
      <c r="K3" s="28" t="s">
        <v>208</v>
      </c>
      <c r="L3" s="28" t="s">
        <v>213</v>
      </c>
      <c r="M3" s="28" t="s">
        <v>212</v>
      </c>
      <c r="N3" s="28" t="s">
        <v>209</v>
      </c>
      <c r="O3" s="28" t="s">
        <v>211</v>
      </c>
      <c r="P3" s="28" t="s">
        <v>216</v>
      </c>
      <c r="Q3" s="28" t="s">
        <v>210</v>
      </c>
    </row>
    <row r="4" spans="1:17" x14ac:dyDescent="0.3">
      <c r="A4" s="1">
        <v>1</v>
      </c>
      <c r="B4" s="2" t="s">
        <v>0</v>
      </c>
      <c r="C4" s="2" t="s">
        <v>1</v>
      </c>
      <c r="D4" s="2" t="s">
        <v>2</v>
      </c>
      <c r="E4" s="3" t="s">
        <v>218</v>
      </c>
      <c r="F4" s="14">
        <v>44195</v>
      </c>
      <c r="G4" s="30" t="s">
        <v>219</v>
      </c>
      <c r="H4" s="5">
        <v>236400</v>
      </c>
      <c r="I4" s="6">
        <f>IF(X4 = 1, H4 + SUM(S4:S20) - SUM(T4:T20) - SUM(P4:P20) - V4,0)</f>
        <v>0</v>
      </c>
      <c r="J4" s="3" t="s">
        <v>65</v>
      </c>
      <c r="K4" s="3" t="s">
        <v>220</v>
      </c>
      <c r="L4" s="2" t="s">
        <v>6</v>
      </c>
      <c r="M4" s="2" t="s">
        <v>7</v>
      </c>
      <c r="N4" s="13">
        <v>44227</v>
      </c>
      <c r="O4" s="4" t="s">
        <v>221</v>
      </c>
      <c r="P4" s="11">
        <v>18700</v>
      </c>
      <c r="Q4" s="9">
        <v>44239</v>
      </c>
    </row>
    <row r="5" spans="1:17" x14ac:dyDescent="0.3">
      <c r="A5" s="1"/>
      <c r="B5" s="2"/>
      <c r="C5" s="2"/>
      <c r="D5" s="2"/>
      <c r="E5" s="3"/>
      <c r="F5" s="14"/>
      <c r="G5" s="30"/>
      <c r="H5" s="5"/>
      <c r="I5" s="6"/>
      <c r="J5" s="3"/>
      <c r="K5" s="3"/>
      <c r="L5" s="2"/>
      <c r="M5" s="2"/>
      <c r="N5" s="7">
        <v>44255</v>
      </c>
      <c r="O5" s="4"/>
      <c r="P5" s="11">
        <v>7560</v>
      </c>
      <c r="Q5" s="9">
        <v>44239</v>
      </c>
    </row>
    <row r="6" spans="1:17" x14ac:dyDescent="0.3">
      <c r="A6" s="1"/>
      <c r="B6" s="2"/>
      <c r="C6" s="2"/>
      <c r="D6" s="2"/>
      <c r="E6" s="3"/>
      <c r="F6" s="14"/>
      <c r="G6" s="30"/>
      <c r="H6" s="5"/>
      <c r="I6" s="6"/>
      <c r="J6" s="3"/>
      <c r="K6" s="3"/>
      <c r="L6" s="2"/>
      <c r="M6" s="2"/>
      <c r="N6" s="7">
        <v>44286</v>
      </c>
      <c r="O6" s="4"/>
      <c r="P6" s="11">
        <v>19200</v>
      </c>
      <c r="Q6" s="9">
        <v>44264</v>
      </c>
    </row>
    <row r="7" spans="1:17" x14ac:dyDescent="0.3">
      <c r="A7" s="1"/>
      <c r="B7" s="2"/>
      <c r="C7" s="2"/>
      <c r="D7" s="2"/>
      <c r="E7" s="3"/>
      <c r="F7" s="14"/>
      <c r="G7" s="30"/>
      <c r="H7" s="5"/>
      <c r="I7" s="6"/>
      <c r="J7" s="3"/>
      <c r="K7" s="3"/>
      <c r="L7" s="2"/>
      <c r="M7" s="2"/>
      <c r="N7" s="7">
        <v>44316</v>
      </c>
      <c r="O7" s="4"/>
      <c r="P7" s="11">
        <v>9600</v>
      </c>
      <c r="Q7" s="9">
        <v>44264</v>
      </c>
    </row>
    <row r="8" spans="1:17" x14ac:dyDescent="0.3">
      <c r="A8" s="1"/>
      <c r="B8" s="2"/>
      <c r="C8" s="2"/>
      <c r="D8" s="2"/>
      <c r="E8" s="3"/>
      <c r="F8" s="14"/>
      <c r="G8" s="30"/>
      <c r="H8" s="5"/>
      <c r="I8" s="6"/>
      <c r="J8" s="3"/>
      <c r="K8" s="3"/>
      <c r="L8" s="2"/>
      <c r="M8" s="2"/>
      <c r="N8" s="7">
        <v>44347</v>
      </c>
      <c r="O8" s="4"/>
      <c r="P8" s="11">
        <v>17000</v>
      </c>
      <c r="Q8" s="9">
        <v>44308</v>
      </c>
    </row>
    <row r="9" spans="1:17" x14ac:dyDescent="0.3">
      <c r="A9" s="1"/>
      <c r="B9" s="2"/>
      <c r="C9" s="2"/>
      <c r="D9" s="2"/>
      <c r="E9" s="3"/>
      <c r="F9" s="14"/>
      <c r="G9" s="30"/>
      <c r="H9" s="5"/>
      <c r="I9" s="6"/>
      <c r="J9" s="3"/>
      <c r="K9" s="3"/>
      <c r="L9" s="2"/>
      <c r="M9" s="2"/>
      <c r="N9" s="7">
        <v>44377</v>
      </c>
      <c r="O9" s="4"/>
      <c r="P9" s="11">
        <v>8040</v>
      </c>
      <c r="Q9" s="9">
        <v>44308</v>
      </c>
    </row>
    <row r="10" spans="1:17" x14ac:dyDescent="0.3">
      <c r="A10" s="1"/>
      <c r="B10" s="2"/>
      <c r="C10" s="2"/>
      <c r="D10" s="2"/>
      <c r="E10" s="3"/>
      <c r="F10" s="14"/>
      <c r="G10" s="30"/>
      <c r="H10" s="5"/>
      <c r="I10" s="6"/>
      <c r="J10" s="3"/>
      <c r="K10" s="3"/>
      <c r="L10" s="2"/>
      <c r="M10" s="2"/>
      <c r="N10" s="7">
        <v>44408</v>
      </c>
      <c r="O10" s="4"/>
      <c r="P10" s="11">
        <v>20500</v>
      </c>
      <c r="Q10" s="9">
        <v>44377</v>
      </c>
    </row>
    <row r="11" spans="1:17" x14ac:dyDescent="0.3">
      <c r="A11" s="1"/>
      <c r="B11" s="2"/>
      <c r="C11" s="2"/>
      <c r="D11" s="2"/>
      <c r="E11" s="3"/>
      <c r="F11" s="14"/>
      <c r="G11" s="30"/>
      <c r="H11" s="5"/>
      <c r="I11" s="6"/>
      <c r="J11" s="3"/>
      <c r="K11" s="3"/>
      <c r="L11" s="2"/>
      <c r="M11" s="2"/>
      <c r="N11" s="7">
        <v>44439</v>
      </c>
      <c r="O11" s="4"/>
      <c r="P11" s="11">
        <v>10800</v>
      </c>
      <c r="Q11" s="9">
        <v>44377</v>
      </c>
    </row>
    <row r="12" spans="1:17" x14ac:dyDescent="0.3">
      <c r="A12" s="1"/>
      <c r="B12" s="2"/>
      <c r="C12" s="2"/>
      <c r="D12" s="2"/>
      <c r="E12" s="3"/>
      <c r="F12" s="14"/>
      <c r="G12" s="30"/>
      <c r="H12" s="5"/>
      <c r="I12" s="6"/>
      <c r="J12" s="3"/>
      <c r="K12" s="3"/>
      <c r="L12" s="2"/>
      <c r="M12" s="2"/>
      <c r="N12" s="7">
        <v>44469</v>
      </c>
      <c r="O12" s="4"/>
      <c r="P12" s="11">
        <v>16900</v>
      </c>
      <c r="Q12" s="9">
        <v>44377</v>
      </c>
    </row>
    <row r="13" spans="1:17" x14ac:dyDescent="0.3">
      <c r="A13" s="1"/>
      <c r="B13" s="2"/>
      <c r="C13" s="2"/>
      <c r="D13" s="2"/>
      <c r="E13" s="3"/>
      <c r="F13" s="14"/>
      <c r="G13" s="30"/>
      <c r="H13" s="5"/>
      <c r="I13" s="6"/>
      <c r="J13" s="3"/>
      <c r="K13" s="3"/>
      <c r="L13" s="2"/>
      <c r="M13" s="2"/>
      <c r="N13" s="7"/>
      <c r="O13" s="4"/>
      <c r="P13" s="11">
        <v>5400</v>
      </c>
      <c r="Q13" s="9">
        <v>44377</v>
      </c>
    </row>
    <row r="14" spans="1:17" x14ac:dyDescent="0.3">
      <c r="A14" s="1"/>
      <c r="B14" s="2"/>
      <c r="C14" s="2"/>
      <c r="D14" s="2"/>
      <c r="E14" s="3"/>
      <c r="F14" s="14"/>
      <c r="G14" s="30"/>
      <c r="H14" s="5"/>
      <c r="I14" s="6"/>
      <c r="J14" s="3"/>
      <c r="K14" s="3"/>
      <c r="L14" s="2"/>
      <c r="M14" s="2"/>
      <c r="N14" s="7"/>
      <c r="O14" s="4"/>
      <c r="P14" s="11">
        <v>13600</v>
      </c>
      <c r="Q14" s="9">
        <v>44386</v>
      </c>
    </row>
    <row r="15" spans="1:17" x14ac:dyDescent="0.3">
      <c r="A15" s="1"/>
      <c r="B15" s="2"/>
      <c r="C15" s="2"/>
      <c r="D15" s="2"/>
      <c r="E15" s="3"/>
      <c r="F15" s="14"/>
      <c r="G15" s="30"/>
      <c r="H15" s="5"/>
      <c r="I15" s="6"/>
      <c r="J15" s="3"/>
      <c r="K15" s="3"/>
      <c r="L15" s="2"/>
      <c r="M15" s="2"/>
      <c r="N15" s="7"/>
      <c r="O15" s="4"/>
      <c r="P15" s="11">
        <v>2880</v>
      </c>
      <c r="Q15" s="9">
        <v>44386</v>
      </c>
    </row>
    <row r="16" spans="1:17" x14ac:dyDescent="0.3">
      <c r="A16" s="1"/>
      <c r="B16" s="2"/>
      <c r="C16" s="2"/>
      <c r="D16" s="2"/>
      <c r="E16" s="3"/>
      <c r="F16" s="14"/>
      <c r="G16" s="30"/>
      <c r="H16" s="5"/>
      <c r="I16" s="6"/>
      <c r="J16" s="3"/>
      <c r="K16" s="3"/>
      <c r="L16" s="2"/>
      <c r="M16" s="2"/>
      <c r="N16" s="7"/>
      <c r="O16" s="4"/>
      <c r="P16" s="11">
        <f>14200+2160</f>
        <v>16360</v>
      </c>
      <c r="Q16" s="9">
        <v>44418</v>
      </c>
    </row>
    <row r="17" spans="1:17" x14ac:dyDescent="0.3">
      <c r="A17" s="1"/>
      <c r="B17" s="2"/>
      <c r="C17" s="2"/>
      <c r="D17" s="2"/>
      <c r="E17" s="3"/>
      <c r="F17" s="14"/>
      <c r="G17" s="30"/>
      <c r="H17" s="5"/>
      <c r="I17" s="6"/>
      <c r="J17" s="3"/>
      <c r="K17" s="3"/>
      <c r="L17" s="2"/>
      <c r="M17" s="2"/>
      <c r="N17" s="7"/>
      <c r="O17" s="4"/>
      <c r="P17" s="11">
        <v>1680</v>
      </c>
      <c r="Q17" s="9">
        <v>44454</v>
      </c>
    </row>
    <row r="18" spans="1:17" x14ac:dyDescent="0.3">
      <c r="A18" s="1"/>
      <c r="B18" s="2"/>
      <c r="C18" s="2"/>
      <c r="D18" s="2"/>
      <c r="E18" s="3"/>
      <c r="F18" s="14"/>
      <c r="G18" s="30"/>
      <c r="H18" s="5"/>
      <c r="I18" s="6"/>
      <c r="J18" s="3"/>
      <c r="K18" s="3"/>
      <c r="L18" s="2"/>
      <c r="M18" s="2"/>
      <c r="N18" s="7"/>
      <c r="O18" s="4"/>
      <c r="P18" s="11">
        <v>13800</v>
      </c>
      <c r="Q18" s="9">
        <v>44454</v>
      </c>
    </row>
    <row r="19" spans="1:17" x14ac:dyDescent="0.3">
      <c r="A19" s="1"/>
      <c r="B19" s="2"/>
      <c r="C19" s="2"/>
      <c r="D19" s="2"/>
      <c r="E19" s="3"/>
      <c r="F19" s="14"/>
      <c r="G19" s="30"/>
      <c r="H19" s="5"/>
      <c r="I19" s="6"/>
      <c r="J19" s="3"/>
      <c r="K19" s="3"/>
      <c r="L19" s="2"/>
      <c r="M19" s="2"/>
      <c r="N19" s="7"/>
      <c r="O19" s="4"/>
      <c r="P19" s="11">
        <v>10920</v>
      </c>
      <c r="Q19" s="9">
        <v>44480</v>
      </c>
    </row>
    <row r="20" spans="1:17" x14ac:dyDescent="0.3">
      <c r="A20" s="1"/>
      <c r="B20" s="2"/>
      <c r="C20" s="2"/>
      <c r="D20" s="2"/>
      <c r="E20" s="3"/>
      <c r="F20" s="14"/>
      <c r="G20" s="30"/>
      <c r="H20" s="5"/>
      <c r="I20" s="6"/>
      <c r="J20" s="3"/>
      <c r="K20" s="3"/>
      <c r="L20" s="2"/>
      <c r="M20" s="2"/>
      <c r="N20" s="7"/>
      <c r="O20" s="4"/>
      <c r="P20" s="11">
        <v>21000</v>
      </c>
      <c r="Q20" s="9">
        <v>44480</v>
      </c>
    </row>
    <row r="21" spans="1:17" x14ac:dyDescent="0.3">
      <c r="A21" s="1">
        <v>2</v>
      </c>
      <c r="B21" s="2" t="s">
        <v>0</v>
      </c>
      <c r="C21" s="2" t="s">
        <v>1</v>
      </c>
      <c r="D21" s="2" t="s">
        <v>2</v>
      </c>
      <c r="E21" s="3" t="s">
        <v>222</v>
      </c>
      <c r="F21" s="14">
        <v>44195</v>
      </c>
      <c r="G21" s="30" t="s">
        <v>223</v>
      </c>
      <c r="H21" s="5">
        <v>512400</v>
      </c>
      <c r="I21" s="6">
        <f>IF(X21 = 2, H21 + SUM(S21:S23) - SUM(T21:T23) - SUM(P21:P23) - V21,0)</f>
        <v>0</v>
      </c>
      <c r="J21" s="3" t="s">
        <v>224</v>
      </c>
      <c r="K21" s="3" t="s">
        <v>225</v>
      </c>
      <c r="L21" s="2" t="s">
        <v>6</v>
      </c>
      <c r="M21" s="2" t="s">
        <v>7</v>
      </c>
      <c r="N21" s="20">
        <v>44227</v>
      </c>
      <c r="O21" s="4" t="s">
        <v>226</v>
      </c>
      <c r="P21" s="23">
        <v>103628.5</v>
      </c>
      <c r="Q21" s="9">
        <v>44238</v>
      </c>
    </row>
    <row r="22" spans="1:17" x14ac:dyDescent="0.3">
      <c r="A22" s="1"/>
      <c r="B22" s="2"/>
      <c r="C22" s="2"/>
      <c r="D22" s="2"/>
      <c r="E22" s="3"/>
      <c r="F22" s="14"/>
      <c r="G22" s="30"/>
      <c r="H22" s="5"/>
      <c r="I22" s="6"/>
      <c r="J22" s="3"/>
      <c r="K22" s="3"/>
      <c r="L22" s="2"/>
      <c r="M22" s="2"/>
      <c r="N22" s="9">
        <v>44255</v>
      </c>
      <c r="O22" s="4"/>
      <c r="P22" s="23">
        <v>136938.5</v>
      </c>
      <c r="Q22" s="9">
        <v>44274</v>
      </c>
    </row>
    <row r="23" spans="1:17" ht="39.6" customHeight="1" x14ac:dyDescent="0.3">
      <c r="A23" s="31"/>
      <c r="B23" s="32"/>
      <c r="C23" s="32"/>
      <c r="D23" s="32"/>
      <c r="E23" s="33"/>
      <c r="F23" s="34"/>
      <c r="G23" s="35"/>
      <c r="H23" s="36"/>
      <c r="I23" s="37"/>
      <c r="J23" s="33"/>
      <c r="K23" s="33"/>
      <c r="L23" s="32"/>
      <c r="M23" s="32"/>
      <c r="N23" s="38">
        <v>44286</v>
      </c>
      <c r="O23" s="39"/>
      <c r="P23" s="40">
        <v>112552.66</v>
      </c>
      <c r="Q23" s="38">
        <v>44308</v>
      </c>
    </row>
    <row r="24" spans="1:17" x14ac:dyDescent="0.3">
      <c r="A24" s="1">
        <v>3</v>
      </c>
      <c r="B24" s="2" t="s">
        <v>0</v>
      </c>
      <c r="C24" s="2" t="s">
        <v>1</v>
      </c>
      <c r="D24" s="2" t="s">
        <v>2</v>
      </c>
      <c r="E24" s="3" t="s">
        <v>9</v>
      </c>
      <c r="F24" s="14">
        <v>44218</v>
      </c>
      <c r="G24" s="30" t="s">
        <v>227</v>
      </c>
      <c r="H24" s="5">
        <v>163800</v>
      </c>
      <c r="I24" s="6">
        <f>IF(X24 = 3, H24 + SUM(S24:S33) - SUM(T24:T33) - SUM(P24:P33) - V24,0)</f>
        <v>0</v>
      </c>
      <c r="J24" s="3" t="s">
        <v>228</v>
      </c>
      <c r="K24" s="3" t="s">
        <v>229</v>
      </c>
      <c r="L24" s="2" t="s">
        <v>6</v>
      </c>
      <c r="M24" s="2" t="s">
        <v>230</v>
      </c>
      <c r="N24" s="13">
        <v>44225</v>
      </c>
      <c r="O24" s="4" t="s">
        <v>231</v>
      </c>
      <c r="P24" s="11">
        <v>21162</v>
      </c>
      <c r="Q24" s="9">
        <v>44238</v>
      </c>
    </row>
    <row r="25" spans="1:17" x14ac:dyDescent="0.3">
      <c r="A25" s="1"/>
      <c r="B25" s="2"/>
      <c r="C25" s="2"/>
      <c r="D25" s="2"/>
      <c r="E25" s="3"/>
      <c r="F25" s="14"/>
      <c r="G25" s="30"/>
      <c r="H25" s="5"/>
      <c r="I25" s="6"/>
      <c r="J25" s="3"/>
      <c r="K25" s="3"/>
      <c r="L25" s="2"/>
      <c r="M25" s="2"/>
      <c r="N25" s="7">
        <v>44253</v>
      </c>
      <c r="O25" s="4"/>
      <c r="P25" s="11">
        <v>8230</v>
      </c>
      <c r="Q25" s="9">
        <v>44238</v>
      </c>
    </row>
    <row r="26" spans="1:17" x14ac:dyDescent="0.3">
      <c r="A26" s="1"/>
      <c r="B26" s="2"/>
      <c r="C26" s="2"/>
      <c r="D26" s="2"/>
      <c r="E26" s="3"/>
      <c r="F26" s="14"/>
      <c r="G26" s="30"/>
      <c r="H26" s="5"/>
      <c r="I26" s="6"/>
      <c r="J26" s="3"/>
      <c r="K26" s="3"/>
      <c r="L26" s="2"/>
      <c r="M26" s="2"/>
      <c r="N26" s="7">
        <v>44286</v>
      </c>
      <c r="O26" s="4"/>
      <c r="P26" s="11">
        <v>26262</v>
      </c>
      <c r="Q26" s="9">
        <v>44270</v>
      </c>
    </row>
    <row r="27" spans="1:17" x14ac:dyDescent="0.3">
      <c r="A27" s="1"/>
      <c r="B27" s="2"/>
      <c r="C27" s="2"/>
      <c r="D27" s="2"/>
      <c r="E27" s="3"/>
      <c r="F27" s="14"/>
      <c r="G27" s="30"/>
      <c r="H27" s="5"/>
      <c r="I27" s="6"/>
      <c r="J27" s="3"/>
      <c r="K27" s="3"/>
      <c r="L27" s="2"/>
      <c r="M27" s="2"/>
      <c r="N27" s="7">
        <v>44316</v>
      </c>
      <c r="O27" s="4"/>
      <c r="P27" s="11">
        <v>10230</v>
      </c>
      <c r="Q27" s="9">
        <v>44270</v>
      </c>
    </row>
    <row r="28" spans="1:17" x14ac:dyDescent="0.3">
      <c r="A28" s="1"/>
      <c r="B28" s="2"/>
      <c r="C28" s="2"/>
      <c r="D28" s="2"/>
      <c r="E28" s="3"/>
      <c r="F28" s="14"/>
      <c r="G28" s="30"/>
      <c r="H28" s="5"/>
      <c r="I28" s="6"/>
      <c r="J28" s="3"/>
      <c r="K28" s="3"/>
      <c r="L28" s="2"/>
      <c r="M28" s="2"/>
      <c r="N28" s="7">
        <v>44337</v>
      </c>
      <c r="O28" s="4"/>
      <c r="P28" s="11">
        <v>23232</v>
      </c>
      <c r="Q28" s="9">
        <v>44298</v>
      </c>
    </row>
    <row r="29" spans="1:17" x14ac:dyDescent="0.3">
      <c r="A29" s="1"/>
      <c r="B29" s="2"/>
      <c r="C29" s="2"/>
      <c r="D29" s="2"/>
      <c r="E29" s="3"/>
      <c r="F29" s="14"/>
      <c r="G29" s="30"/>
      <c r="H29" s="5"/>
      <c r="I29" s="6"/>
      <c r="J29" s="3"/>
      <c r="K29" s="3"/>
      <c r="L29" s="2"/>
      <c r="M29" s="2"/>
      <c r="N29" s="7"/>
      <c r="O29" s="4"/>
      <c r="P29" s="11">
        <v>9200</v>
      </c>
      <c r="Q29" s="9">
        <v>44298</v>
      </c>
    </row>
    <row r="30" spans="1:17" x14ac:dyDescent="0.3">
      <c r="A30" s="1"/>
      <c r="B30" s="2"/>
      <c r="C30" s="2"/>
      <c r="D30" s="2"/>
      <c r="E30" s="3"/>
      <c r="F30" s="14"/>
      <c r="G30" s="30"/>
      <c r="H30" s="5"/>
      <c r="I30" s="6"/>
      <c r="J30" s="3"/>
      <c r="K30" s="3"/>
      <c r="L30" s="2"/>
      <c r="M30" s="2"/>
      <c r="N30" s="7"/>
      <c r="O30" s="4"/>
      <c r="P30" s="11">
        <v>28728</v>
      </c>
      <c r="Q30" s="9">
        <v>44336</v>
      </c>
    </row>
    <row r="31" spans="1:17" x14ac:dyDescent="0.3">
      <c r="A31" s="1"/>
      <c r="B31" s="2"/>
      <c r="C31" s="2"/>
      <c r="D31" s="2"/>
      <c r="E31" s="3"/>
      <c r="F31" s="14"/>
      <c r="G31" s="30"/>
      <c r="H31" s="5"/>
      <c r="I31" s="6"/>
      <c r="J31" s="3"/>
      <c r="K31" s="3"/>
      <c r="L31" s="2"/>
      <c r="M31" s="2"/>
      <c r="N31" s="7"/>
      <c r="O31" s="4"/>
      <c r="P31" s="11">
        <v>11270</v>
      </c>
      <c r="Q31" s="9">
        <v>44336</v>
      </c>
    </row>
    <row r="32" spans="1:17" x14ac:dyDescent="0.3">
      <c r="A32" s="1"/>
      <c r="B32" s="2"/>
      <c r="C32" s="2"/>
      <c r="D32" s="2"/>
      <c r="E32" s="3"/>
      <c r="F32" s="14"/>
      <c r="G32" s="30"/>
      <c r="H32" s="5"/>
      <c r="I32" s="6"/>
      <c r="J32" s="3"/>
      <c r="K32" s="3"/>
      <c r="L32" s="2"/>
      <c r="M32" s="2"/>
      <c r="N32" s="7"/>
      <c r="O32" s="4"/>
      <c r="P32" s="11">
        <v>8010</v>
      </c>
      <c r="Q32" s="9">
        <v>44354</v>
      </c>
    </row>
    <row r="33" spans="1:17" x14ac:dyDescent="0.3">
      <c r="A33" s="1"/>
      <c r="B33" s="2"/>
      <c r="C33" s="2"/>
      <c r="D33" s="2"/>
      <c r="E33" s="3"/>
      <c r="F33" s="14"/>
      <c r="G33" s="30"/>
      <c r="H33" s="5"/>
      <c r="I33" s="6"/>
      <c r="J33" s="3"/>
      <c r="K33" s="3"/>
      <c r="L33" s="2"/>
      <c r="M33" s="2"/>
      <c r="N33" s="7"/>
      <c r="O33" s="4"/>
      <c r="P33" s="11">
        <v>2800</v>
      </c>
      <c r="Q33" s="9">
        <v>44354</v>
      </c>
    </row>
    <row r="34" spans="1:17" x14ac:dyDescent="0.3">
      <c r="A34" s="1">
        <v>4</v>
      </c>
      <c r="B34" s="2" t="s">
        <v>0</v>
      </c>
      <c r="C34" s="2" t="s">
        <v>1</v>
      </c>
      <c r="D34" s="2" t="s">
        <v>2</v>
      </c>
      <c r="E34" s="3" t="s">
        <v>55</v>
      </c>
      <c r="F34" s="14">
        <v>44218</v>
      </c>
      <c r="G34" s="30" t="s">
        <v>232</v>
      </c>
      <c r="H34" s="5">
        <v>24123</v>
      </c>
      <c r="I34" s="6">
        <f>IF(X34 = 4, H34 + SUM(S34:S49) - SUM(T34:T49) - SUM(P34:P49) - V34,0)</f>
        <v>0</v>
      </c>
      <c r="J34" s="3" t="s">
        <v>233</v>
      </c>
      <c r="K34" s="3" t="s">
        <v>234</v>
      </c>
      <c r="L34" s="2" t="s">
        <v>1</v>
      </c>
      <c r="M34" s="2" t="s">
        <v>230</v>
      </c>
      <c r="N34" s="7">
        <v>44218</v>
      </c>
      <c r="O34" s="4" t="s">
        <v>226</v>
      </c>
      <c r="P34" s="11">
        <v>2838</v>
      </c>
      <c r="Q34" s="9">
        <v>44237</v>
      </c>
    </row>
    <row r="35" spans="1:17" x14ac:dyDescent="0.3">
      <c r="A35" s="1"/>
      <c r="B35" s="2"/>
      <c r="C35" s="2"/>
      <c r="D35" s="2"/>
      <c r="E35" s="3"/>
      <c r="F35" s="14"/>
      <c r="G35" s="30"/>
      <c r="H35" s="5"/>
      <c r="I35" s="6"/>
      <c r="J35" s="3"/>
      <c r="K35" s="3"/>
      <c r="L35" s="2"/>
      <c r="M35" s="2"/>
      <c r="N35" s="7">
        <v>44224</v>
      </c>
      <c r="O35" s="4"/>
      <c r="P35" s="11">
        <v>1419</v>
      </c>
      <c r="Q35" s="9">
        <v>44237</v>
      </c>
    </row>
    <row r="36" spans="1:17" x14ac:dyDescent="0.3">
      <c r="A36" s="1"/>
      <c r="B36" s="2"/>
      <c r="C36" s="2"/>
      <c r="D36" s="2"/>
      <c r="E36" s="3"/>
      <c r="F36" s="14"/>
      <c r="G36" s="30"/>
      <c r="H36" s="5"/>
      <c r="I36" s="6"/>
      <c r="J36" s="3"/>
      <c r="K36" s="3"/>
      <c r="L36" s="2"/>
      <c r="M36" s="2"/>
      <c r="N36" s="7">
        <v>44239</v>
      </c>
      <c r="O36" s="4"/>
      <c r="P36" s="11">
        <v>1419</v>
      </c>
      <c r="Q36" s="9">
        <v>44251</v>
      </c>
    </row>
    <row r="37" spans="1:17" x14ac:dyDescent="0.3">
      <c r="A37" s="1"/>
      <c r="B37" s="2"/>
      <c r="C37" s="2"/>
      <c r="D37" s="2"/>
      <c r="E37" s="3"/>
      <c r="F37" s="14"/>
      <c r="G37" s="30"/>
      <c r="H37" s="5"/>
      <c r="I37" s="6"/>
      <c r="J37" s="3"/>
      <c r="K37" s="3"/>
      <c r="L37" s="2"/>
      <c r="M37" s="2"/>
      <c r="N37" s="7">
        <v>44231</v>
      </c>
      <c r="O37" s="4"/>
      <c r="P37" s="11">
        <v>1435.5</v>
      </c>
      <c r="Q37" s="9">
        <v>44251</v>
      </c>
    </row>
    <row r="38" spans="1:17" x14ac:dyDescent="0.3">
      <c r="A38" s="1"/>
      <c r="B38" s="2"/>
      <c r="C38" s="2"/>
      <c r="D38" s="2"/>
      <c r="E38" s="3"/>
      <c r="F38" s="14"/>
      <c r="G38" s="30"/>
      <c r="H38" s="5"/>
      <c r="I38" s="6"/>
      <c r="J38" s="3"/>
      <c r="K38" s="3"/>
      <c r="L38" s="2"/>
      <c r="M38" s="2"/>
      <c r="N38" s="7">
        <v>44245</v>
      </c>
      <c r="O38" s="4"/>
      <c r="P38" s="11">
        <v>1419</v>
      </c>
      <c r="Q38" s="9">
        <v>44266</v>
      </c>
    </row>
    <row r="39" spans="1:17" x14ac:dyDescent="0.3">
      <c r="A39" s="1"/>
      <c r="B39" s="2"/>
      <c r="C39" s="2"/>
      <c r="D39" s="2"/>
      <c r="E39" s="3"/>
      <c r="F39" s="14"/>
      <c r="G39" s="30"/>
      <c r="H39" s="5"/>
      <c r="I39" s="6"/>
      <c r="J39" s="3"/>
      <c r="K39" s="3"/>
      <c r="L39" s="2"/>
      <c r="M39" s="2"/>
      <c r="N39" s="7">
        <v>44253</v>
      </c>
      <c r="O39" s="4"/>
      <c r="P39" s="11">
        <v>1419</v>
      </c>
      <c r="Q39" s="9">
        <v>44266</v>
      </c>
    </row>
    <row r="40" spans="1:17" x14ac:dyDescent="0.3">
      <c r="A40" s="1"/>
      <c r="B40" s="2"/>
      <c r="C40" s="2"/>
      <c r="D40" s="2"/>
      <c r="E40" s="3"/>
      <c r="F40" s="14"/>
      <c r="G40" s="30"/>
      <c r="H40" s="5"/>
      <c r="I40" s="6"/>
      <c r="J40" s="3"/>
      <c r="K40" s="3"/>
      <c r="L40" s="2"/>
      <c r="M40" s="2"/>
      <c r="N40" s="7">
        <v>44259</v>
      </c>
      <c r="O40" s="4"/>
      <c r="P40" s="11">
        <v>1386</v>
      </c>
      <c r="Q40" s="9">
        <v>44279</v>
      </c>
    </row>
    <row r="41" spans="1:17" x14ac:dyDescent="0.3">
      <c r="A41" s="1"/>
      <c r="B41" s="2"/>
      <c r="C41" s="2"/>
      <c r="D41" s="2"/>
      <c r="E41" s="3"/>
      <c r="F41" s="14"/>
      <c r="G41" s="30"/>
      <c r="H41" s="5"/>
      <c r="I41" s="6"/>
      <c r="J41" s="3"/>
      <c r="K41" s="3"/>
      <c r="L41" s="2"/>
      <c r="M41" s="2"/>
      <c r="N41" s="7">
        <v>44266</v>
      </c>
      <c r="O41" s="4"/>
      <c r="P41" s="11">
        <v>1386</v>
      </c>
      <c r="Q41" s="9">
        <v>44279</v>
      </c>
    </row>
    <row r="42" spans="1:17" x14ac:dyDescent="0.3">
      <c r="A42" s="1"/>
      <c r="B42" s="2"/>
      <c r="C42" s="2"/>
      <c r="D42" s="2"/>
      <c r="E42" s="3"/>
      <c r="F42" s="14"/>
      <c r="G42" s="30"/>
      <c r="H42" s="5"/>
      <c r="I42" s="6"/>
      <c r="J42" s="3"/>
      <c r="K42" s="3"/>
      <c r="L42" s="2"/>
      <c r="M42" s="2"/>
      <c r="N42" s="7">
        <v>44273</v>
      </c>
      <c r="O42" s="4"/>
      <c r="P42" s="11">
        <v>1402.5</v>
      </c>
      <c r="Q42" s="9">
        <v>44293</v>
      </c>
    </row>
    <row r="43" spans="1:17" x14ac:dyDescent="0.3">
      <c r="A43" s="1"/>
      <c r="B43" s="2"/>
      <c r="C43" s="2"/>
      <c r="D43" s="2"/>
      <c r="E43" s="3"/>
      <c r="F43" s="14"/>
      <c r="G43" s="30"/>
      <c r="H43" s="5"/>
      <c r="I43" s="6"/>
      <c r="J43" s="3"/>
      <c r="K43" s="3"/>
      <c r="L43" s="2"/>
      <c r="M43" s="2"/>
      <c r="N43" s="7">
        <v>44287</v>
      </c>
      <c r="O43" s="4"/>
      <c r="P43" s="11">
        <v>1386</v>
      </c>
      <c r="Q43" s="9">
        <v>44309</v>
      </c>
    </row>
    <row r="44" spans="1:17" x14ac:dyDescent="0.3">
      <c r="A44" s="1"/>
      <c r="B44" s="2"/>
      <c r="C44" s="2"/>
      <c r="D44" s="2"/>
      <c r="E44" s="3"/>
      <c r="F44" s="14"/>
      <c r="G44" s="30"/>
      <c r="H44" s="5"/>
      <c r="I44" s="6"/>
      <c r="J44" s="3"/>
      <c r="K44" s="3"/>
      <c r="L44" s="2"/>
      <c r="M44" s="2"/>
      <c r="N44" s="7">
        <v>44294</v>
      </c>
      <c r="O44" s="4"/>
      <c r="P44" s="11">
        <v>1386</v>
      </c>
      <c r="Q44" s="9">
        <v>44309</v>
      </c>
    </row>
    <row r="45" spans="1:17" x14ac:dyDescent="0.3">
      <c r="A45" s="1"/>
      <c r="B45" s="2"/>
      <c r="C45" s="2"/>
      <c r="D45" s="2"/>
      <c r="E45" s="3"/>
      <c r="F45" s="14"/>
      <c r="G45" s="30"/>
      <c r="H45" s="5"/>
      <c r="I45" s="6"/>
      <c r="J45" s="3"/>
      <c r="K45" s="3"/>
      <c r="L45" s="2"/>
      <c r="M45" s="2"/>
      <c r="N45" s="7">
        <v>44301</v>
      </c>
      <c r="O45" s="4"/>
      <c r="P45" s="11">
        <v>1386</v>
      </c>
      <c r="Q45" s="9">
        <v>44309</v>
      </c>
    </row>
    <row r="46" spans="1:17" x14ac:dyDescent="0.3">
      <c r="A46" s="1"/>
      <c r="B46" s="2"/>
      <c r="C46" s="2"/>
      <c r="D46" s="2"/>
      <c r="E46" s="3"/>
      <c r="F46" s="14"/>
      <c r="G46" s="30"/>
      <c r="H46" s="5"/>
      <c r="I46" s="6"/>
      <c r="J46" s="3"/>
      <c r="K46" s="3"/>
      <c r="L46" s="2"/>
      <c r="M46" s="2"/>
      <c r="N46" s="7">
        <v>44308</v>
      </c>
      <c r="O46" s="4"/>
      <c r="P46" s="11">
        <v>1386</v>
      </c>
      <c r="Q46" s="9">
        <v>44335</v>
      </c>
    </row>
    <row r="47" spans="1:17" x14ac:dyDescent="0.3">
      <c r="A47" s="1"/>
      <c r="B47" s="2"/>
      <c r="C47" s="2"/>
      <c r="D47" s="2"/>
      <c r="E47" s="3"/>
      <c r="F47" s="14"/>
      <c r="G47" s="30"/>
      <c r="H47" s="5"/>
      <c r="I47" s="6"/>
      <c r="J47" s="3"/>
      <c r="K47" s="3"/>
      <c r="L47" s="2"/>
      <c r="M47" s="2"/>
      <c r="N47" s="7">
        <v>44315</v>
      </c>
      <c r="O47" s="4"/>
      <c r="P47" s="11">
        <v>1386</v>
      </c>
      <c r="Q47" s="9">
        <v>44335</v>
      </c>
    </row>
    <row r="48" spans="1:17" x14ac:dyDescent="0.3">
      <c r="A48" s="1"/>
      <c r="B48" s="2"/>
      <c r="C48" s="2"/>
      <c r="D48" s="2"/>
      <c r="E48" s="3"/>
      <c r="F48" s="14"/>
      <c r="G48" s="30"/>
      <c r="H48" s="5"/>
      <c r="I48" s="6"/>
      <c r="J48" s="3"/>
      <c r="K48" s="3"/>
      <c r="L48" s="2"/>
      <c r="M48" s="2"/>
      <c r="N48" s="7">
        <v>44329</v>
      </c>
      <c r="O48" s="4"/>
      <c r="P48" s="11">
        <v>1386</v>
      </c>
      <c r="Q48" s="9">
        <v>44348</v>
      </c>
    </row>
    <row r="49" spans="1:17" x14ac:dyDescent="0.3">
      <c r="A49" s="1"/>
      <c r="B49" s="2"/>
      <c r="C49" s="2"/>
      <c r="D49" s="2"/>
      <c r="E49" s="3"/>
      <c r="F49" s="14"/>
      <c r="G49" s="30"/>
      <c r="H49" s="5"/>
      <c r="I49" s="6"/>
      <c r="J49" s="3"/>
      <c r="K49" s="3"/>
      <c r="L49" s="2"/>
      <c r="M49" s="2"/>
      <c r="N49" s="7">
        <v>44336</v>
      </c>
      <c r="O49" s="4"/>
      <c r="P49" s="11">
        <v>1386</v>
      </c>
      <c r="Q49" s="9">
        <v>44348</v>
      </c>
    </row>
    <row r="50" spans="1:17" x14ac:dyDescent="0.3">
      <c r="A50" s="1">
        <v>5</v>
      </c>
      <c r="B50" s="2" t="s">
        <v>0</v>
      </c>
      <c r="C50" s="2" t="s">
        <v>1</v>
      </c>
      <c r="D50" s="2" t="s">
        <v>2</v>
      </c>
      <c r="E50" s="3" t="s">
        <v>235</v>
      </c>
      <c r="F50" s="14">
        <v>44218</v>
      </c>
      <c r="G50" s="30" t="s">
        <v>236</v>
      </c>
      <c r="H50" s="5">
        <v>33972</v>
      </c>
      <c r="I50" s="6">
        <f>IF(X50 = 5, H50 + SUM(S50:S54) - SUM(T50:T54) - SUM(P50:P54) - V50,0)</f>
        <v>0</v>
      </c>
      <c r="J50" s="2" t="s">
        <v>228</v>
      </c>
      <c r="K50" s="2" t="s">
        <v>229</v>
      </c>
      <c r="L50" s="2" t="s">
        <v>6</v>
      </c>
      <c r="M50" s="2" t="s">
        <v>230</v>
      </c>
      <c r="N50" s="13">
        <v>44225</v>
      </c>
      <c r="O50" s="4" t="s">
        <v>231</v>
      </c>
      <c r="P50" s="11">
        <v>5624</v>
      </c>
      <c r="Q50" s="9">
        <v>44237</v>
      </c>
    </row>
    <row r="51" spans="1:17" x14ac:dyDescent="0.3">
      <c r="A51" s="1"/>
      <c r="B51" s="2"/>
      <c r="C51" s="2"/>
      <c r="D51" s="2"/>
      <c r="E51" s="3"/>
      <c r="F51" s="14"/>
      <c r="G51" s="30"/>
      <c r="H51" s="5"/>
      <c r="I51" s="6"/>
      <c r="J51" s="2"/>
      <c r="K51" s="2"/>
      <c r="L51" s="2"/>
      <c r="M51" s="2"/>
      <c r="N51" s="7">
        <v>44253</v>
      </c>
      <c r="O51" s="4"/>
      <c r="P51" s="11">
        <v>6240</v>
      </c>
      <c r="Q51" s="9">
        <v>44270</v>
      </c>
    </row>
    <row r="52" spans="1:17" x14ac:dyDescent="0.3">
      <c r="A52" s="1"/>
      <c r="B52" s="2"/>
      <c r="C52" s="2"/>
      <c r="D52" s="2"/>
      <c r="E52" s="3"/>
      <c r="F52" s="14"/>
      <c r="G52" s="30"/>
      <c r="H52" s="5"/>
      <c r="I52" s="6"/>
      <c r="J52" s="2"/>
      <c r="K52" s="2"/>
      <c r="L52" s="2"/>
      <c r="M52" s="2"/>
      <c r="N52" s="7">
        <v>44286</v>
      </c>
      <c r="O52" s="4"/>
      <c r="P52" s="11">
        <v>5604</v>
      </c>
      <c r="Q52" s="9">
        <v>44298</v>
      </c>
    </row>
    <row r="53" spans="1:17" x14ac:dyDescent="0.3">
      <c r="A53" s="1"/>
      <c r="B53" s="2"/>
      <c r="C53" s="2"/>
      <c r="D53" s="2"/>
      <c r="E53" s="3"/>
      <c r="F53" s="14"/>
      <c r="G53" s="30"/>
      <c r="H53" s="5"/>
      <c r="I53" s="6"/>
      <c r="J53" s="2"/>
      <c r="K53" s="2"/>
      <c r="L53" s="2"/>
      <c r="M53" s="2"/>
      <c r="N53" s="7">
        <v>44316</v>
      </c>
      <c r="O53" s="4"/>
      <c r="P53" s="11">
        <v>6862</v>
      </c>
      <c r="Q53" s="9">
        <v>44336</v>
      </c>
    </row>
    <row r="54" spans="1:17" x14ac:dyDescent="0.3">
      <c r="A54" s="1"/>
      <c r="B54" s="2"/>
      <c r="C54" s="2"/>
      <c r="D54" s="2"/>
      <c r="E54" s="3"/>
      <c r="F54" s="14"/>
      <c r="G54" s="30"/>
      <c r="H54" s="5"/>
      <c r="I54" s="6"/>
      <c r="J54" s="2"/>
      <c r="K54" s="2"/>
      <c r="L54" s="2"/>
      <c r="M54" s="2"/>
      <c r="N54" s="7">
        <v>44337</v>
      </c>
      <c r="O54" s="4"/>
      <c r="P54" s="11">
        <v>2368</v>
      </c>
      <c r="Q54" s="9">
        <v>44354</v>
      </c>
    </row>
    <row r="55" spans="1:17" x14ac:dyDescent="0.3">
      <c r="A55" s="1">
        <v>6</v>
      </c>
      <c r="B55" s="2" t="s">
        <v>0</v>
      </c>
      <c r="C55" s="2" t="s">
        <v>1</v>
      </c>
      <c r="D55" s="2" t="s">
        <v>2</v>
      </c>
      <c r="E55" s="2" t="s">
        <v>237</v>
      </c>
      <c r="F55" s="4">
        <v>44218</v>
      </c>
      <c r="G55" s="30" t="s">
        <v>238</v>
      </c>
      <c r="H55" s="5">
        <v>364620</v>
      </c>
      <c r="I55" s="6">
        <f>IF(X55 = 6, H55 + SUM(S55:S56) - SUM(T55:T56) - SUM(P55:P56) - V55,0)</f>
        <v>0</v>
      </c>
      <c r="J55" s="2" t="s">
        <v>228</v>
      </c>
      <c r="K55" s="2" t="s">
        <v>229</v>
      </c>
      <c r="L55" s="2" t="s">
        <v>6</v>
      </c>
      <c r="M55" s="2" t="s">
        <v>239</v>
      </c>
      <c r="N55" s="9">
        <v>44218</v>
      </c>
      <c r="O55" s="4" t="s">
        <v>231</v>
      </c>
      <c r="P55" s="23">
        <v>20662.46</v>
      </c>
      <c r="Q55" s="9">
        <v>44251</v>
      </c>
    </row>
    <row r="56" spans="1:17" x14ac:dyDescent="0.3">
      <c r="A56" s="1"/>
      <c r="B56" s="2"/>
      <c r="C56" s="2"/>
      <c r="D56" s="2"/>
      <c r="E56" s="2"/>
      <c r="F56" s="4"/>
      <c r="G56" s="30"/>
      <c r="H56" s="5"/>
      <c r="I56" s="6"/>
      <c r="J56" s="2"/>
      <c r="K56" s="2"/>
      <c r="L56" s="2"/>
      <c r="M56" s="2"/>
      <c r="N56" s="41">
        <v>44225</v>
      </c>
      <c r="O56" s="4"/>
      <c r="P56" s="42">
        <v>323705.02</v>
      </c>
      <c r="Q56" s="9">
        <v>44251</v>
      </c>
    </row>
    <row r="57" spans="1:17" x14ac:dyDescent="0.3">
      <c r="A57" s="1">
        <v>7</v>
      </c>
      <c r="B57" s="2" t="s">
        <v>0</v>
      </c>
      <c r="C57" s="2" t="s">
        <v>1</v>
      </c>
      <c r="D57" s="2" t="s">
        <v>2</v>
      </c>
      <c r="E57" s="3" t="s">
        <v>240</v>
      </c>
      <c r="F57" s="14">
        <v>44218</v>
      </c>
      <c r="G57" s="30" t="s">
        <v>241</v>
      </c>
      <c r="H57" s="5">
        <v>204039</v>
      </c>
      <c r="I57" s="6">
        <f>IF(X57 = 7, H57 + SUM(S57:S58) - SUM(T57:T58) - SUM(P57:P58) - V57,0)</f>
        <v>0</v>
      </c>
      <c r="J57" s="2" t="s">
        <v>228</v>
      </c>
      <c r="K57" s="2" t="s">
        <v>229</v>
      </c>
      <c r="L57" s="2" t="s">
        <v>6</v>
      </c>
      <c r="M57" s="2" t="s">
        <v>242</v>
      </c>
      <c r="N57" s="9">
        <v>44225</v>
      </c>
      <c r="O57" s="4" t="s">
        <v>231</v>
      </c>
      <c r="P57" s="23">
        <v>95551.5</v>
      </c>
      <c r="Q57" s="9">
        <v>44251</v>
      </c>
    </row>
    <row r="58" spans="1:17" x14ac:dyDescent="0.3">
      <c r="A58" s="1"/>
      <c r="B58" s="2"/>
      <c r="C58" s="2"/>
      <c r="D58" s="2"/>
      <c r="E58" s="3"/>
      <c r="F58" s="14"/>
      <c r="G58" s="30"/>
      <c r="H58" s="5"/>
      <c r="I58" s="6"/>
      <c r="J58" s="2"/>
      <c r="K58" s="2"/>
      <c r="L58" s="2"/>
      <c r="M58" s="2"/>
      <c r="N58" s="9">
        <v>44253</v>
      </c>
      <c r="O58" s="4"/>
      <c r="P58" s="23">
        <v>108487.5</v>
      </c>
      <c r="Q58" s="9">
        <v>44270</v>
      </c>
    </row>
    <row r="59" spans="1:17" x14ac:dyDescent="0.3">
      <c r="A59" s="1">
        <v>8</v>
      </c>
      <c r="B59" s="2" t="s">
        <v>0</v>
      </c>
      <c r="C59" s="2" t="s">
        <v>1</v>
      </c>
      <c r="D59" s="2" t="s">
        <v>2</v>
      </c>
      <c r="E59" s="43" t="s">
        <v>243</v>
      </c>
      <c r="F59" s="44">
        <v>44228</v>
      </c>
      <c r="G59" s="30" t="s">
        <v>244</v>
      </c>
      <c r="H59" s="5">
        <v>391856.19</v>
      </c>
      <c r="I59" s="6">
        <f>IF(X59 = 8, H59 + SUM(S59:S64) - SUM(T59:T64) - SUM(P59:P64) - V59,0)</f>
        <v>0</v>
      </c>
      <c r="J59" s="2" t="s">
        <v>228</v>
      </c>
      <c r="K59" s="2" t="s">
        <v>229</v>
      </c>
      <c r="L59" s="2" t="s">
        <v>6</v>
      </c>
      <c r="M59" s="2" t="s">
        <v>245</v>
      </c>
      <c r="N59" s="41">
        <v>44232</v>
      </c>
      <c r="O59" s="4" t="s">
        <v>231</v>
      </c>
      <c r="P59" s="45">
        <v>6635.93</v>
      </c>
      <c r="Q59" s="46">
        <v>44274</v>
      </c>
    </row>
    <row r="60" spans="1:17" x14ac:dyDescent="0.3">
      <c r="A60" s="1"/>
      <c r="B60" s="2"/>
      <c r="C60" s="2"/>
      <c r="D60" s="2"/>
      <c r="E60" s="43"/>
      <c r="F60" s="44"/>
      <c r="G60" s="30"/>
      <c r="H60" s="5"/>
      <c r="I60" s="6"/>
      <c r="J60" s="2"/>
      <c r="K60" s="2"/>
      <c r="L60" s="2"/>
      <c r="M60" s="2"/>
      <c r="N60" s="41">
        <v>44246</v>
      </c>
      <c r="O60" s="4"/>
      <c r="P60" s="42">
        <v>77870.67</v>
      </c>
      <c r="Q60" s="46">
        <v>44274</v>
      </c>
    </row>
    <row r="61" spans="1:17" x14ac:dyDescent="0.3">
      <c r="A61" s="1"/>
      <c r="B61" s="2"/>
      <c r="C61" s="2"/>
      <c r="D61" s="2"/>
      <c r="E61" s="43"/>
      <c r="F61" s="44"/>
      <c r="G61" s="30"/>
      <c r="H61" s="5"/>
      <c r="I61" s="6"/>
      <c r="J61" s="2"/>
      <c r="K61" s="2"/>
      <c r="L61" s="2"/>
      <c r="M61" s="2"/>
      <c r="N61" s="41">
        <v>44253</v>
      </c>
      <c r="O61" s="4"/>
      <c r="P61" s="42">
        <v>11905.33</v>
      </c>
      <c r="Q61" s="46">
        <v>44274</v>
      </c>
    </row>
    <row r="62" spans="1:17" x14ac:dyDescent="0.3">
      <c r="A62" s="1"/>
      <c r="B62" s="2"/>
      <c r="C62" s="2"/>
      <c r="D62" s="2"/>
      <c r="E62" s="43"/>
      <c r="F62" s="44"/>
      <c r="G62" s="30"/>
      <c r="H62" s="5"/>
      <c r="I62" s="6"/>
      <c r="J62" s="2"/>
      <c r="K62" s="2"/>
      <c r="L62" s="2"/>
      <c r="M62" s="2"/>
      <c r="N62" s="7"/>
      <c r="O62" s="4"/>
      <c r="P62" s="42">
        <v>186513</v>
      </c>
      <c r="Q62" s="46">
        <v>44274</v>
      </c>
    </row>
    <row r="63" spans="1:17" x14ac:dyDescent="0.3">
      <c r="A63" s="1"/>
      <c r="B63" s="2"/>
      <c r="C63" s="2"/>
      <c r="D63" s="2"/>
      <c r="E63" s="43"/>
      <c r="F63" s="44"/>
      <c r="G63" s="30"/>
      <c r="H63" s="5"/>
      <c r="I63" s="6"/>
      <c r="J63" s="2"/>
      <c r="K63" s="2"/>
      <c r="L63" s="2"/>
      <c r="M63" s="2"/>
      <c r="N63" s="7"/>
      <c r="O63" s="4"/>
      <c r="P63" s="42">
        <v>4970.57</v>
      </c>
      <c r="Q63" s="46">
        <v>44274</v>
      </c>
    </row>
    <row r="64" spans="1:17" x14ac:dyDescent="0.3">
      <c r="A64" s="1"/>
      <c r="B64" s="2"/>
      <c r="C64" s="2"/>
      <c r="D64" s="2"/>
      <c r="E64" s="43"/>
      <c r="F64" s="44"/>
      <c r="G64" s="30"/>
      <c r="H64" s="5"/>
      <c r="I64" s="6"/>
      <c r="J64" s="2"/>
      <c r="K64" s="2"/>
      <c r="L64" s="2"/>
      <c r="M64" s="2"/>
      <c r="N64" s="7"/>
      <c r="O64" s="4"/>
      <c r="P64" s="42">
        <v>103960.69</v>
      </c>
      <c r="Q64" s="46">
        <v>44274</v>
      </c>
    </row>
    <row r="65" spans="1:17" x14ac:dyDescent="0.3">
      <c r="A65" s="1">
        <v>9</v>
      </c>
      <c r="B65" s="2" t="s">
        <v>0</v>
      </c>
      <c r="C65" s="2" t="s">
        <v>1</v>
      </c>
      <c r="D65" s="2" t="s">
        <v>2</v>
      </c>
      <c r="E65" s="3" t="s">
        <v>246</v>
      </c>
      <c r="F65" s="14">
        <v>44256</v>
      </c>
      <c r="G65" s="30" t="s">
        <v>247</v>
      </c>
      <c r="H65" s="5">
        <v>448400</v>
      </c>
      <c r="I65" s="6">
        <f>IF(X65 = 9, H65 + SUM(S65:S67) - SUM(T65:T67) - SUM(P65:P67) - V65,0)</f>
        <v>0</v>
      </c>
      <c r="J65" s="2" t="s">
        <v>228</v>
      </c>
      <c r="K65" s="2" t="s">
        <v>229</v>
      </c>
      <c r="L65" s="2" t="s">
        <v>6</v>
      </c>
      <c r="M65" s="2" t="s">
        <v>248</v>
      </c>
      <c r="N65" s="13">
        <v>44286</v>
      </c>
      <c r="O65" s="4" t="s">
        <v>231</v>
      </c>
      <c r="P65" s="8">
        <v>126407</v>
      </c>
      <c r="Q65" s="20">
        <v>44298</v>
      </c>
    </row>
    <row r="66" spans="1:17" x14ac:dyDescent="0.3">
      <c r="A66" s="1"/>
      <c r="B66" s="2"/>
      <c r="C66" s="2"/>
      <c r="D66" s="2"/>
      <c r="E66" s="3"/>
      <c r="F66" s="14"/>
      <c r="G66" s="30"/>
      <c r="H66" s="5"/>
      <c r="I66" s="6"/>
      <c r="J66" s="2"/>
      <c r="K66" s="2"/>
      <c r="L66" s="2"/>
      <c r="M66" s="2"/>
      <c r="N66" s="7">
        <v>44316</v>
      </c>
      <c r="O66" s="4"/>
      <c r="P66" s="11">
        <v>163951</v>
      </c>
      <c r="Q66" s="9">
        <v>44336</v>
      </c>
    </row>
    <row r="67" spans="1:17" x14ac:dyDescent="0.3">
      <c r="A67" s="1"/>
      <c r="B67" s="2"/>
      <c r="C67" s="2"/>
      <c r="D67" s="2"/>
      <c r="E67" s="3"/>
      <c r="F67" s="14"/>
      <c r="G67" s="30"/>
      <c r="H67" s="5"/>
      <c r="I67" s="6"/>
      <c r="J67" s="2"/>
      <c r="K67" s="2"/>
      <c r="L67" s="2"/>
      <c r="M67" s="2"/>
      <c r="N67" s="7">
        <v>44337</v>
      </c>
      <c r="O67" s="4"/>
      <c r="P67" s="11">
        <v>62130</v>
      </c>
      <c r="Q67" s="9">
        <v>44354</v>
      </c>
    </row>
    <row r="68" spans="1:17" x14ac:dyDescent="0.3">
      <c r="A68" s="1">
        <v>10</v>
      </c>
      <c r="B68" s="2" t="s">
        <v>0</v>
      </c>
      <c r="C68" s="2" t="s">
        <v>1</v>
      </c>
      <c r="D68" s="2" t="s">
        <v>2</v>
      </c>
      <c r="E68" s="2" t="s">
        <v>249</v>
      </c>
      <c r="F68" s="14">
        <v>44256</v>
      </c>
      <c r="G68" s="30" t="s">
        <v>250</v>
      </c>
      <c r="H68" s="5">
        <v>396626.11</v>
      </c>
      <c r="I68" s="6">
        <f>IF(X68 = 10, H68 + SUM(S68:S73) - SUM(T68:T73) - SUM(P68:P73) - V68,0)</f>
        <v>0</v>
      </c>
      <c r="J68" s="2" t="s">
        <v>228</v>
      </c>
      <c r="K68" s="2" t="s">
        <v>229</v>
      </c>
      <c r="L68" s="2" t="s">
        <v>6</v>
      </c>
      <c r="M68" s="2" t="s">
        <v>251</v>
      </c>
      <c r="N68" s="13">
        <v>44260</v>
      </c>
      <c r="O68" s="4" t="s">
        <v>231</v>
      </c>
      <c r="P68" s="8">
        <v>6784.42</v>
      </c>
      <c r="Q68" s="20">
        <v>44305</v>
      </c>
    </row>
    <row r="69" spans="1:17" x14ac:dyDescent="0.3">
      <c r="A69" s="1"/>
      <c r="B69" s="2"/>
      <c r="C69" s="2"/>
      <c r="D69" s="2"/>
      <c r="E69" s="2"/>
      <c r="F69" s="14"/>
      <c r="G69" s="30"/>
      <c r="H69" s="5"/>
      <c r="I69" s="6"/>
      <c r="J69" s="2"/>
      <c r="K69" s="2"/>
      <c r="L69" s="2"/>
      <c r="M69" s="2"/>
      <c r="N69" s="7">
        <v>44274</v>
      </c>
      <c r="O69" s="4"/>
      <c r="P69" s="11">
        <v>12676.74</v>
      </c>
      <c r="Q69" s="9">
        <v>44305</v>
      </c>
    </row>
    <row r="70" spans="1:17" x14ac:dyDescent="0.3">
      <c r="A70" s="1"/>
      <c r="B70" s="2"/>
      <c r="C70" s="2"/>
      <c r="D70" s="2"/>
      <c r="E70" s="2"/>
      <c r="F70" s="14"/>
      <c r="G70" s="30"/>
      <c r="H70" s="5"/>
      <c r="I70" s="6"/>
      <c r="J70" s="2"/>
      <c r="K70" s="2"/>
      <c r="L70" s="2"/>
      <c r="M70" s="2"/>
      <c r="N70" s="7">
        <v>44286</v>
      </c>
      <c r="O70" s="4"/>
      <c r="P70" s="11">
        <v>4336.88</v>
      </c>
      <c r="Q70" s="9">
        <v>44305</v>
      </c>
    </row>
    <row r="71" spans="1:17" x14ac:dyDescent="0.3">
      <c r="A71" s="1"/>
      <c r="B71" s="2"/>
      <c r="C71" s="2"/>
      <c r="D71" s="2"/>
      <c r="E71" s="2"/>
      <c r="F71" s="14"/>
      <c r="G71" s="30"/>
      <c r="H71" s="5"/>
      <c r="I71" s="6"/>
      <c r="J71" s="2"/>
      <c r="K71" s="2"/>
      <c r="L71" s="2"/>
      <c r="M71" s="2"/>
      <c r="N71" s="7"/>
      <c r="O71" s="4"/>
      <c r="P71" s="11">
        <v>106287.03999999999</v>
      </c>
      <c r="Q71" s="9">
        <v>44305</v>
      </c>
    </row>
    <row r="72" spans="1:17" x14ac:dyDescent="0.3">
      <c r="A72" s="1"/>
      <c r="B72" s="2"/>
      <c r="C72" s="2"/>
      <c r="D72" s="2"/>
      <c r="E72" s="2"/>
      <c r="F72" s="14"/>
      <c r="G72" s="30"/>
      <c r="H72" s="5"/>
      <c r="I72" s="6"/>
      <c r="J72" s="2"/>
      <c r="K72" s="2"/>
      <c r="L72" s="2"/>
      <c r="M72" s="2"/>
      <c r="N72" s="7"/>
      <c r="O72" s="4"/>
      <c r="P72" s="11">
        <v>198598.04</v>
      </c>
      <c r="Q72" s="9">
        <v>44305</v>
      </c>
    </row>
    <row r="73" spans="1:17" x14ac:dyDescent="0.3">
      <c r="A73" s="1"/>
      <c r="B73" s="2"/>
      <c r="C73" s="2"/>
      <c r="D73" s="2"/>
      <c r="E73" s="2"/>
      <c r="F73" s="14"/>
      <c r="G73" s="30"/>
      <c r="H73" s="5"/>
      <c r="I73" s="6"/>
      <c r="J73" s="2"/>
      <c r="K73" s="2"/>
      <c r="L73" s="2"/>
      <c r="M73" s="2"/>
      <c r="N73" s="7"/>
      <c r="O73" s="4"/>
      <c r="P73" s="11">
        <v>67942.990000000005</v>
      </c>
      <c r="Q73" s="9">
        <v>44305</v>
      </c>
    </row>
    <row r="74" spans="1:17" ht="121.8" customHeight="1" x14ac:dyDescent="0.3">
      <c r="A74" s="21">
        <v>11</v>
      </c>
      <c r="B74" s="10" t="s">
        <v>252</v>
      </c>
      <c r="C74" s="10" t="s">
        <v>1</v>
      </c>
      <c r="D74" s="10" t="s">
        <v>86</v>
      </c>
      <c r="E74" s="47" t="s">
        <v>253</v>
      </c>
      <c r="F74" s="41">
        <v>44259</v>
      </c>
      <c r="G74" s="20" t="s">
        <v>254</v>
      </c>
      <c r="H74" s="8">
        <v>68300</v>
      </c>
      <c r="I74" s="22">
        <f>IF(X74 = 11, H74 + SUM(S74:S74) - SUM(T74:T74) - SUM(P74:P74) - V74,0)</f>
        <v>0</v>
      </c>
      <c r="J74" s="47" t="s">
        <v>255</v>
      </c>
      <c r="K74" s="47" t="s">
        <v>256</v>
      </c>
      <c r="L74" s="10" t="s">
        <v>6</v>
      </c>
      <c r="M74" s="10" t="s">
        <v>257</v>
      </c>
      <c r="N74" s="41">
        <v>44270</v>
      </c>
      <c r="O74" s="13" t="s">
        <v>226</v>
      </c>
      <c r="P74" s="42">
        <v>68300</v>
      </c>
      <c r="Q74" s="41">
        <v>44280</v>
      </c>
    </row>
    <row r="75" spans="1:17" ht="153" x14ac:dyDescent="0.3">
      <c r="A75" s="21">
        <v>12</v>
      </c>
      <c r="B75" s="10" t="s">
        <v>0</v>
      </c>
      <c r="C75" s="10" t="s">
        <v>6</v>
      </c>
      <c r="D75" s="10" t="s">
        <v>2</v>
      </c>
      <c r="E75" s="10" t="s">
        <v>258</v>
      </c>
      <c r="F75" s="13">
        <v>44284</v>
      </c>
      <c r="G75" s="20" t="s">
        <v>259</v>
      </c>
      <c r="H75" s="8">
        <v>187000</v>
      </c>
      <c r="I75" s="22">
        <f>IF(X75 = 12, H75 + SUM(S75:S75) - SUM(T75:T75) - SUM(P75:P75) - V75,0)</f>
        <v>0</v>
      </c>
      <c r="J75" s="10" t="s">
        <v>224</v>
      </c>
      <c r="K75" s="10" t="s">
        <v>225</v>
      </c>
      <c r="L75" s="10" t="s">
        <v>6</v>
      </c>
      <c r="M75" s="10" t="s">
        <v>260</v>
      </c>
      <c r="N75" s="13">
        <v>44316</v>
      </c>
      <c r="O75" s="13" t="s">
        <v>226</v>
      </c>
      <c r="P75" s="8">
        <v>150460</v>
      </c>
      <c r="Q75" s="20">
        <v>44386</v>
      </c>
    </row>
    <row r="76" spans="1:17" ht="153" x14ac:dyDescent="0.3">
      <c r="A76" s="21">
        <v>13</v>
      </c>
      <c r="B76" s="10" t="s">
        <v>0</v>
      </c>
      <c r="C76" s="10" t="s">
        <v>6</v>
      </c>
      <c r="D76" s="10" t="s">
        <v>2</v>
      </c>
      <c r="E76" s="10" t="s">
        <v>261</v>
      </c>
      <c r="F76" s="13">
        <v>44306</v>
      </c>
      <c r="G76" s="20" t="s">
        <v>262</v>
      </c>
      <c r="H76" s="8">
        <v>38000</v>
      </c>
      <c r="I76" s="22">
        <f>IF(X76 = 13, H76 + SUM(S76:S76) - SUM(T76:T76) - SUM(P76:P76) - V76,0)</f>
        <v>0</v>
      </c>
      <c r="J76" s="10" t="s">
        <v>263</v>
      </c>
      <c r="K76" s="10" t="s">
        <v>264</v>
      </c>
      <c r="L76" s="10"/>
      <c r="M76" s="10" t="s">
        <v>265</v>
      </c>
      <c r="N76" s="13">
        <v>44306</v>
      </c>
      <c r="O76" s="13" t="s">
        <v>226</v>
      </c>
      <c r="P76" s="8">
        <v>38000</v>
      </c>
      <c r="Q76" s="20">
        <v>44314</v>
      </c>
    </row>
    <row r="77" spans="1:17" x14ac:dyDescent="0.3">
      <c r="A77" s="1">
        <v>14</v>
      </c>
      <c r="B77" s="2" t="s">
        <v>0</v>
      </c>
      <c r="C77" s="2" t="s">
        <v>1</v>
      </c>
      <c r="D77" s="2" t="s">
        <v>2</v>
      </c>
      <c r="E77" s="2" t="s">
        <v>77</v>
      </c>
      <c r="F77" s="4">
        <v>44287</v>
      </c>
      <c r="G77" s="30" t="s">
        <v>266</v>
      </c>
      <c r="H77" s="5">
        <v>524359.32999999996</v>
      </c>
      <c r="I77" s="6">
        <f>IF(X77 = 14, H77 + SUM(S77:S82) - SUM(T77:T82) - SUM(P77:P82) - V77,0)</f>
        <v>0</v>
      </c>
      <c r="J77" s="2" t="s">
        <v>228</v>
      </c>
      <c r="K77" s="2" t="s">
        <v>229</v>
      </c>
      <c r="L77" s="2" t="s">
        <v>6</v>
      </c>
      <c r="M77" s="2" t="s">
        <v>267</v>
      </c>
      <c r="N77" s="13">
        <v>44295</v>
      </c>
      <c r="O77" s="4" t="s">
        <v>231</v>
      </c>
      <c r="P77" s="8">
        <v>10082.959999999999</v>
      </c>
      <c r="Q77" s="20">
        <v>44336</v>
      </c>
    </row>
    <row r="78" spans="1:17" x14ac:dyDescent="0.3">
      <c r="A78" s="1"/>
      <c r="B78" s="2"/>
      <c r="C78" s="2"/>
      <c r="D78" s="2"/>
      <c r="E78" s="2"/>
      <c r="F78" s="4"/>
      <c r="G78" s="30"/>
      <c r="H78" s="5"/>
      <c r="I78" s="6"/>
      <c r="J78" s="2"/>
      <c r="K78" s="2"/>
      <c r="L78" s="2"/>
      <c r="M78" s="2"/>
      <c r="N78" s="7">
        <v>44309</v>
      </c>
      <c r="O78" s="4"/>
      <c r="P78" s="11">
        <v>14203.01</v>
      </c>
      <c r="Q78" s="9">
        <v>44336</v>
      </c>
    </row>
    <row r="79" spans="1:17" x14ac:dyDescent="0.3">
      <c r="A79" s="1"/>
      <c r="B79" s="2"/>
      <c r="C79" s="2"/>
      <c r="D79" s="2"/>
      <c r="E79" s="2"/>
      <c r="F79" s="4"/>
      <c r="G79" s="30"/>
      <c r="H79" s="5"/>
      <c r="I79" s="6"/>
      <c r="J79" s="2"/>
      <c r="K79" s="2"/>
      <c r="L79" s="2"/>
      <c r="M79" s="2"/>
      <c r="N79" s="7">
        <v>44316</v>
      </c>
      <c r="O79" s="4"/>
      <c r="P79" s="11">
        <v>7176.22</v>
      </c>
      <c r="Q79" s="9">
        <v>44336</v>
      </c>
    </row>
    <row r="80" spans="1:17" x14ac:dyDescent="0.3">
      <c r="A80" s="1"/>
      <c r="B80" s="2"/>
      <c r="C80" s="2"/>
      <c r="D80" s="2"/>
      <c r="E80" s="2"/>
      <c r="F80" s="4"/>
      <c r="G80" s="30"/>
      <c r="H80" s="5"/>
      <c r="I80" s="6"/>
      <c r="J80" s="2"/>
      <c r="K80" s="2"/>
      <c r="L80" s="2"/>
      <c r="M80" s="2"/>
      <c r="N80" s="7"/>
      <c r="O80" s="4"/>
      <c r="P80" s="11">
        <v>157963</v>
      </c>
      <c r="Q80" s="9">
        <v>44336</v>
      </c>
    </row>
    <row r="81" spans="1:17" x14ac:dyDescent="0.3">
      <c r="A81" s="1"/>
      <c r="B81" s="2"/>
      <c r="C81" s="2"/>
      <c r="D81" s="2"/>
      <c r="E81" s="2"/>
      <c r="F81" s="4"/>
      <c r="G81" s="30"/>
      <c r="H81" s="5"/>
      <c r="I81" s="6"/>
      <c r="J81" s="2"/>
      <c r="K81" s="2"/>
      <c r="L81" s="2"/>
      <c r="M81" s="2"/>
      <c r="N81" s="7"/>
      <c r="O81" s="4"/>
      <c r="P81" s="11">
        <v>222509.11</v>
      </c>
      <c r="Q81" s="9">
        <v>44336</v>
      </c>
    </row>
    <row r="82" spans="1:17" x14ac:dyDescent="0.3">
      <c r="A82" s="1"/>
      <c r="B82" s="2"/>
      <c r="C82" s="2"/>
      <c r="D82" s="2"/>
      <c r="E82" s="2"/>
      <c r="F82" s="4"/>
      <c r="G82" s="30"/>
      <c r="H82" s="5"/>
      <c r="I82" s="6"/>
      <c r="J82" s="2"/>
      <c r="K82" s="2"/>
      <c r="L82" s="2"/>
      <c r="M82" s="2"/>
      <c r="N82" s="7"/>
      <c r="O82" s="4"/>
      <c r="P82" s="11">
        <v>112425.03</v>
      </c>
      <c r="Q82" s="9">
        <v>44336</v>
      </c>
    </row>
    <row r="83" spans="1:17" x14ac:dyDescent="0.3">
      <c r="A83" s="1">
        <v>15</v>
      </c>
      <c r="B83" s="2" t="s">
        <v>0</v>
      </c>
      <c r="C83" s="2" t="s">
        <v>1</v>
      </c>
      <c r="D83" s="2" t="s">
        <v>2</v>
      </c>
      <c r="E83" s="2" t="s">
        <v>268</v>
      </c>
      <c r="F83" s="4">
        <v>44316</v>
      </c>
      <c r="G83" s="30" t="s">
        <v>269</v>
      </c>
      <c r="H83" s="5">
        <v>192738.47</v>
      </c>
      <c r="I83" s="6">
        <f>IF(X83 = 15, H83 + SUM(S83:S86) - SUM(T83:T86) - SUM(P83:P86) - V83,0)</f>
        <v>0</v>
      </c>
      <c r="J83" s="2" t="s">
        <v>228</v>
      </c>
      <c r="K83" s="2" t="s">
        <v>229</v>
      </c>
      <c r="L83" s="2" t="s">
        <v>6</v>
      </c>
      <c r="M83" s="2" t="s">
        <v>270</v>
      </c>
      <c r="N83" s="13">
        <v>44330</v>
      </c>
      <c r="O83" s="4" t="s">
        <v>231</v>
      </c>
      <c r="P83" s="8">
        <v>4483.51</v>
      </c>
      <c r="Q83" s="20">
        <v>44342</v>
      </c>
    </row>
    <row r="84" spans="1:17" x14ac:dyDescent="0.3">
      <c r="A84" s="1"/>
      <c r="B84" s="2"/>
      <c r="C84" s="2"/>
      <c r="D84" s="2"/>
      <c r="E84" s="2"/>
      <c r="F84" s="4"/>
      <c r="G84" s="30"/>
      <c r="H84" s="5"/>
      <c r="I84" s="6"/>
      <c r="J84" s="2"/>
      <c r="K84" s="2"/>
      <c r="L84" s="2"/>
      <c r="M84" s="2"/>
      <c r="N84" s="7">
        <v>44337</v>
      </c>
      <c r="O84" s="4"/>
      <c r="P84" s="11">
        <v>70240.259999999995</v>
      </c>
      <c r="Q84" s="9">
        <v>44342</v>
      </c>
    </row>
    <row r="85" spans="1:17" x14ac:dyDescent="0.3">
      <c r="A85" s="1"/>
      <c r="B85" s="2"/>
      <c r="C85" s="2"/>
      <c r="D85" s="2"/>
      <c r="E85" s="2"/>
      <c r="F85" s="4"/>
      <c r="G85" s="30"/>
      <c r="H85" s="5"/>
      <c r="I85" s="6"/>
      <c r="J85" s="2"/>
      <c r="K85" s="2"/>
      <c r="L85" s="2"/>
      <c r="M85" s="2"/>
      <c r="N85" s="7"/>
      <c r="O85" s="4"/>
      <c r="P85" s="11">
        <v>110520.59</v>
      </c>
      <c r="Q85" s="9">
        <v>44344</v>
      </c>
    </row>
    <row r="86" spans="1:17" x14ac:dyDescent="0.3">
      <c r="A86" s="1"/>
      <c r="B86" s="2"/>
      <c r="C86" s="2"/>
      <c r="D86" s="2"/>
      <c r="E86" s="2"/>
      <c r="F86" s="4"/>
      <c r="G86" s="30"/>
      <c r="H86" s="5"/>
      <c r="I86" s="6"/>
      <c r="J86" s="2"/>
      <c r="K86" s="2"/>
      <c r="L86" s="2"/>
      <c r="M86" s="2"/>
      <c r="N86" s="7"/>
      <c r="O86" s="4"/>
      <c r="P86" s="11">
        <v>7054.65</v>
      </c>
      <c r="Q86" s="9">
        <v>44344</v>
      </c>
    </row>
    <row r="87" spans="1:17" ht="153" x14ac:dyDescent="0.3">
      <c r="A87" s="21">
        <v>16</v>
      </c>
      <c r="B87" s="10" t="s">
        <v>0</v>
      </c>
      <c r="C87" s="10" t="s">
        <v>1</v>
      </c>
      <c r="D87" s="10" t="s">
        <v>2</v>
      </c>
      <c r="E87" s="10" t="s">
        <v>9</v>
      </c>
      <c r="F87" s="13">
        <v>44348</v>
      </c>
      <c r="G87" s="20" t="s">
        <v>271</v>
      </c>
      <c r="H87" s="8">
        <v>350000</v>
      </c>
      <c r="I87" s="22">
        <f>IF(X87 = 16, H87 + SUM(S87:S87) - SUM(T87:T87) - SUM(P87:P87) - V87,0)</f>
        <v>0</v>
      </c>
      <c r="J87" s="10" t="s">
        <v>272</v>
      </c>
      <c r="K87" s="10" t="s">
        <v>273</v>
      </c>
      <c r="L87" s="10" t="s">
        <v>6</v>
      </c>
      <c r="M87" s="10" t="s">
        <v>274</v>
      </c>
      <c r="N87" s="13">
        <v>44348</v>
      </c>
      <c r="O87" s="13" t="s">
        <v>226</v>
      </c>
      <c r="P87" s="8">
        <v>350000</v>
      </c>
      <c r="Q87" s="20">
        <v>44349</v>
      </c>
    </row>
    <row r="88" spans="1:17" x14ac:dyDescent="0.3">
      <c r="A88" s="1">
        <v>17</v>
      </c>
      <c r="B88" s="2" t="s">
        <v>0</v>
      </c>
      <c r="C88" s="2" t="s">
        <v>1</v>
      </c>
      <c r="D88" s="2" t="s">
        <v>2</v>
      </c>
      <c r="E88" s="2" t="s">
        <v>275</v>
      </c>
      <c r="F88" s="4">
        <v>44354</v>
      </c>
      <c r="G88" s="30" t="s">
        <v>276</v>
      </c>
      <c r="H88" s="5">
        <v>94592.4</v>
      </c>
      <c r="I88" s="6">
        <f>IF(X88 = 17, H88 + SUM(S88:S89) - SUM(T88:T89) - SUM(P88:P89) - V88,0)</f>
        <v>0</v>
      </c>
      <c r="J88" s="2" t="s">
        <v>228</v>
      </c>
      <c r="K88" s="2" t="s">
        <v>229</v>
      </c>
      <c r="L88" s="2" t="s">
        <v>6</v>
      </c>
      <c r="M88" s="2" t="s">
        <v>277</v>
      </c>
      <c r="N88" s="13">
        <v>44372</v>
      </c>
      <c r="O88" s="4" t="s">
        <v>231</v>
      </c>
      <c r="P88" s="8">
        <v>75672.66</v>
      </c>
      <c r="Q88" s="20">
        <v>44390</v>
      </c>
    </row>
    <row r="89" spans="1:17" x14ac:dyDescent="0.3">
      <c r="A89" s="1"/>
      <c r="B89" s="2"/>
      <c r="C89" s="2"/>
      <c r="D89" s="2"/>
      <c r="E89" s="2"/>
      <c r="F89" s="4"/>
      <c r="G89" s="30"/>
      <c r="H89" s="5"/>
      <c r="I89" s="6"/>
      <c r="J89" s="2"/>
      <c r="K89" s="2"/>
      <c r="L89" s="2"/>
      <c r="M89" s="2"/>
      <c r="N89" s="7"/>
      <c r="O89" s="4"/>
      <c r="P89" s="11">
        <v>18919.740000000002</v>
      </c>
      <c r="Q89" s="9">
        <v>44390</v>
      </c>
    </row>
    <row r="90" spans="1:17" ht="153" x14ac:dyDescent="0.3">
      <c r="A90" s="21">
        <v>18</v>
      </c>
      <c r="B90" s="10" t="s">
        <v>0</v>
      </c>
      <c r="C90" s="10" t="s">
        <v>6</v>
      </c>
      <c r="D90" s="10" t="s">
        <v>2</v>
      </c>
      <c r="E90" s="10" t="s">
        <v>278</v>
      </c>
      <c r="F90" s="13">
        <v>44313</v>
      </c>
      <c r="G90" s="20" t="s">
        <v>279</v>
      </c>
      <c r="H90" s="8">
        <v>160140</v>
      </c>
      <c r="I90" s="22">
        <f>IF(X90 = 18, H90 + SUM(S90:S90) - SUM(T90:T90) - SUM(P90:P90) - V90,0)</f>
        <v>0</v>
      </c>
      <c r="J90" s="10" t="s">
        <v>224</v>
      </c>
      <c r="K90" s="10" t="s">
        <v>225</v>
      </c>
      <c r="L90" s="10" t="s">
        <v>6</v>
      </c>
      <c r="M90" s="10" t="s">
        <v>280</v>
      </c>
      <c r="N90" s="13">
        <v>44347</v>
      </c>
      <c r="O90" s="13" t="s">
        <v>226</v>
      </c>
      <c r="P90" s="8">
        <v>74046</v>
      </c>
      <c r="Q90" s="20">
        <v>44369</v>
      </c>
    </row>
    <row r="91" spans="1:17" ht="91.8" x14ac:dyDescent="0.3">
      <c r="A91" s="21">
        <v>19</v>
      </c>
      <c r="B91" s="10" t="s">
        <v>252</v>
      </c>
      <c r="C91" s="10" t="s">
        <v>1</v>
      </c>
      <c r="D91" s="10"/>
      <c r="E91" s="10" t="s">
        <v>281</v>
      </c>
      <c r="F91" s="13">
        <v>44342</v>
      </c>
      <c r="G91" s="20" t="s">
        <v>282</v>
      </c>
      <c r="H91" s="8">
        <v>88795.06</v>
      </c>
      <c r="I91" s="22">
        <f>IF(X91 = 19, H91 + SUM(S91:S91) - SUM(T91:T91) - SUM(P91:P91) - V91,0)</f>
        <v>0</v>
      </c>
      <c r="J91" s="10" t="s">
        <v>34</v>
      </c>
      <c r="K91" s="10" t="s">
        <v>283</v>
      </c>
      <c r="L91" s="10" t="s">
        <v>6</v>
      </c>
      <c r="M91" s="10" t="s">
        <v>284</v>
      </c>
      <c r="N91" s="13">
        <v>44344</v>
      </c>
      <c r="O91" s="13" t="s">
        <v>285</v>
      </c>
      <c r="P91" s="8">
        <v>88795.06</v>
      </c>
      <c r="Q91" s="20">
        <v>44369</v>
      </c>
    </row>
    <row r="92" spans="1:17" x14ac:dyDescent="0.3">
      <c r="A92" s="1">
        <v>20</v>
      </c>
      <c r="B92" s="2" t="s">
        <v>0</v>
      </c>
      <c r="C92" s="2" t="s">
        <v>1</v>
      </c>
      <c r="D92" s="2" t="s">
        <v>2</v>
      </c>
      <c r="E92" s="2" t="s">
        <v>286</v>
      </c>
      <c r="F92" s="4">
        <v>44348</v>
      </c>
      <c r="G92" s="30" t="s">
        <v>287</v>
      </c>
      <c r="H92" s="5">
        <v>144750</v>
      </c>
      <c r="I92" s="6">
        <f>IF(X92 = 20, H92 + SUM(S92:S94) - SUM(T92:T94) - SUM(P92:P94) - V92,0)</f>
        <v>0</v>
      </c>
      <c r="J92" s="2" t="s">
        <v>224</v>
      </c>
      <c r="K92" s="2" t="s">
        <v>225</v>
      </c>
      <c r="L92" s="2" t="s">
        <v>6</v>
      </c>
      <c r="M92" s="2" t="s">
        <v>288</v>
      </c>
      <c r="N92" s="13">
        <v>44377</v>
      </c>
      <c r="O92" s="4" t="s">
        <v>226</v>
      </c>
      <c r="P92" s="8">
        <v>35387.5</v>
      </c>
      <c r="Q92" s="20">
        <v>44400</v>
      </c>
    </row>
    <row r="93" spans="1:17" x14ac:dyDescent="0.3">
      <c r="A93" s="1"/>
      <c r="B93" s="2"/>
      <c r="C93" s="2"/>
      <c r="D93" s="2"/>
      <c r="E93" s="2"/>
      <c r="F93" s="4"/>
      <c r="G93" s="30"/>
      <c r="H93" s="5"/>
      <c r="I93" s="6"/>
      <c r="J93" s="2"/>
      <c r="K93" s="2"/>
      <c r="L93" s="2"/>
      <c r="M93" s="2"/>
      <c r="N93" s="7">
        <v>44408</v>
      </c>
      <c r="O93" s="4"/>
      <c r="P93" s="11">
        <v>13242.5</v>
      </c>
      <c r="Q93" s="9">
        <v>44428</v>
      </c>
    </row>
    <row r="94" spans="1:17" x14ac:dyDescent="0.3">
      <c r="A94" s="1"/>
      <c r="B94" s="2"/>
      <c r="C94" s="2"/>
      <c r="D94" s="2"/>
      <c r="E94" s="2"/>
      <c r="F94" s="4"/>
      <c r="G94" s="30"/>
      <c r="H94" s="5"/>
      <c r="I94" s="6"/>
      <c r="J94" s="2"/>
      <c r="K94" s="2"/>
      <c r="L94" s="2"/>
      <c r="M94" s="2"/>
      <c r="N94" s="7">
        <v>44439</v>
      </c>
      <c r="O94" s="4"/>
      <c r="P94" s="11">
        <v>12442.5</v>
      </c>
      <c r="Q94" s="9">
        <v>44454</v>
      </c>
    </row>
    <row r="95" spans="1:17" ht="153" x14ac:dyDescent="0.3">
      <c r="A95" s="21">
        <v>21</v>
      </c>
      <c r="B95" s="10" t="s">
        <v>252</v>
      </c>
      <c r="C95" s="10" t="s">
        <v>1</v>
      </c>
      <c r="D95" s="10"/>
      <c r="E95" s="10" t="s">
        <v>199</v>
      </c>
      <c r="F95" s="13">
        <v>44370</v>
      </c>
      <c r="G95" s="20" t="s">
        <v>289</v>
      </c>
      <c r="H95" s="8">
        <v>14700</v>
      </c>
      <c r="I95" s="22">
        <f>IF(X95 = 21, H95 + SUM(S95:S95) - SUM(T95:T95) - SUM(P95:P95) - V95,0)</f>
        <v>0</v>
      </c>
      <c r="J95" s="10" t="s">
        <v>290</v>
      </c>
      <c r="K95" s="10" t="s">
        <v>291</v>
      </c>
      <c r="L95" s="10" t="s">
        <v>6</v>
      </c>
      <c r="M95" s="10" t="s">
        <v>292</v>
      </c>
      <c r="N95" s="13"/>
      <c r="O95" s="13" t="s">
        <v>226</v>
      </c>
      <c r="P95" s="8">
        <v>14700</v>
      </c>
      <c r="Q95" s="20">
        <v>44372</v>
      </c>
    </row>
    <row r="96" spans="1:17" ht="153" x14ac:dyDescent="0.3">
      <c r="A96" s="21">
        <v>22</v>
      </c>
      <c r="B96" s="10" t="s">
        <v>0</v>
      </c>
      <c r="C96" s="10" t="s">
        <v>1</v>
      </c>
      <c r="D96" s="10" t="s">
        <v>2</v>
      </c>
      <c r="E96" s="10" t="s">
        <v>293</v>
      </c>
      <c r="F96" s="13">
        <v>44333</v>
      </c>
      <c r="G96" s="20" t="s">
        <v>294</v>
      </c>
      <c r="H96" s="8">
        <v>7117</v>
      </c>
      <c r="I96" s="22">
        <f>IF(X96 = 22, H96 + SUM(S96:S96) - SUM(T96:T96) - SUM(P96:P96) - V96,0)</f>
        <v>0</v>
      </c>
      <c r="J96" s="10" t="s">
        <v>105</v>
      </c>
      <c r="K96" s="10" t="s">
        <v>106</v>
      </c>
      <c r="L96" s="10" t="s">
        <v>6</v>
      </c>
      <c r="M96" s="10" t="s">
        <v>274</v>
      </c>
      <c r="N96" s="13">
        <v>44336</v>
      </c>
      <c r="O96" s="13" t="s">
        <v>226</v>
      </c>
      <c r="P96" s="8">
        <v>7117</v>
      </c>
      <c r="Q96" s="20">
        <v>44344</v>
      </c>
    </row>
    <row r="97" spans="1:17" ht="91.8" x14ac:dyDescent="0.3">
      <c r="A97" s="21">
        <v>23</v>
      </c>
      <c r="B97" s="10" t="s">
        <v>0</v>
      </c>
      <c r="C97" s="10" t="s">
        <v>1</v>
      </c>
      <c r="D97" s="10" t="s">
        <v>2</v>
      </c>
      <c r="E97" s="10" t="s">
        <v>182</v>
      </c>
      <c r="F97" s="13">
        <v>44298</v>
      </c>
      <c r="G97" s="20" t="s">
        <v>295</v>
      </c>
      <c r="H97" s="8">
        <v>63000</v>
      </c>
      <c r="I97" s="22">
        <f>IF(X97 = 25, H97 + SUM(S97:S97) - SUM(T97:T97) - SUM(P97:P97) - V97,0)</f>
        <v>0</v>
      </c>
      <c r="J97" s="10" t="s">
        <v>34</v>
      </c>
      <c r="K97" s="10" t="s">
        <v>283</v>
      </c>
      <c r="L97" s="10" t="s">
        <v>6</v>
      </c>
      <c r="M97" s="10" t="s">
        <v>284</v>
      </c>
      <c r="N97" s="13">
        <v>44306</v>
      </c>
      <c r="O97" s="13" t="s">
        <v>285</v>
      </c>
      <c r="P97" s="8">
        <v>63000</v>
      </c>
      <c r="Q97" s="20">
        <v>44369</v>
      </c>
    </row>
    <row r="98" spans="1:17" ht="153" x14ac:dyDescent="0.3">
      <c r="A98" s="21">
        <v>24</v>
      </c>
      <c r="B98" s="10" t="s">
        <v>252</v>
      </c>
      <c r="C98" s="10" t="s">
        <v>1</v>
      </c>
      <c r="D98" s="10"/>
      <c r="E98" s="10" t="s">
        <v>92</v>
      </c>
      <c r="F98" s="13">
        <v>44372</v>
      </c>
      <c r="G98" s="20" t="s">
        <v>271</v>
      </c>
      <c r="H98" s="8">
        <v>35650</v>
      </c>
      <c r="I98" s="22">
        <f>IF(X98 = 27, H98 + SUM(S98:S98) - SUM(T98:T98) - SUM(P98:P98) - V98,0)</f>
        <v>0</v>
      </c>
      <c r="J98" s="10" t="s">
        <v>272</v>
      </c>
      <c r="K98" s="10" t="s">
        <v>273</v>
      </c>
      <c r="L98" s="10" t="s">
        <v>6</v>
      </c>
      <c r="M98" s="10" t="s">
        <v>274</v>
      </c>
      <c r="N98" s="13">
        <v>44372</v>
      </c>
      <c r="O98" s="13" t="s">
        <v>226</v>
      </c>
      <c r="P98" s="8">
        <v>35650</v>
      </c>
      <c r="Q98" s="20">
        <v>44376</v>
      </c>
    </row>
    <row r="99" spans="1:17" ht="102" x14ac:dyDescent="0.3">
      <c r="A99" s="21">
        <v>25</v>
      </c>
      <c r="B99" s="10" t="s">
        <v>0</v>
      </c>
      <c r="C99" s="10" t="s">
        <v>1</v>
      </c>
      <c r="D99" s="10" t="s">
        <v>2</v>
      </c>
      <c r="E99" s="10" t="s">
        <v>296</v>
      </c>
      <c r="F99" s="13">
        <v>44334</v>
      </c>
      <c r="G99" s="20" t="s">
        <v>297</v>
      </c>
      <c r="H99" s="8">
        <v>4700</v>
      </c>
      <c r="I99" s="22">
        <f>IF(X99 = 28, H99 + SUM(S99:S99) - SUM(T99:T99) - SUM(P99:P99) - V99,0)</f>
        <v>0</v>
      </c>
      <c r="J99" s="10" t="s">
        <v>25</v>
      </c>
      <c r="K99" s="10" t="s">
        <v>26</v>
      </c>
      <c r="L99" s="10" t="s">
        <v>1</v>
      </c>
      <c r="M99" s="10" t="s">
        <v>298</v>
      </c>
      <c r="N99" s="13">
        <v>44348</v>
      </c>
      <c r="O99" s="13" t="s">
        <v>299</v>
      </c>
      <c r="P99" s="8">
        <v>4700</v>
      </c>
      <c r="Q99" s="20">
        <v>44400</v>
      </c>
    </row>
    <row r="100" spans="1:17" x14ac:dyDescent="0.3">
      <c r="A100" s="1">
        <v>26</v>
      </c>
      <c r="B100" s="2" t="s">
        <v>0</v>
      </c>
      <c r="C100" s="2" t="s">
        <v>1</v>
      </c>
      <c r="D100" s="2" t="s">
        <v>2</v>
      </c>
      <c r="E100" s="2" t="s">
        <v>300</v>
      </c>
      <c r="F100" s="4">
        <v>44378</v>
      </c>
      <c r="G100" s="30" t="s">
        <v>301</v>
      </c>
      <c r="H100" s="5">
        <v>353280</v>
      </c>
      <c r="I100" s="6">
        <f>IF(X100 = 29, H100 + SUM(S100:S102) - SUM(T100:T102) - SUM(P100:P102) - V100,0)</f>
        <v>0</v>
      </c>
      <c r="J100" s="2" t="s">
        <v>302</v>
      </c>
      <c r="K100" s="2" t="s">
        <v>303</v>
      </c>
      <c r="L100" s="2" t="s">
        <v>6</v>
      </c>
      <c r="M100" s="2" t="s">
        <v>195</v>
      </c>
      <c r="N100" s="13">
        <v>44408</v>
      </c>
      <c r="O100" s="4" t="s">
        <v>231</v>
      </c>
      <c r="P100" s="8">
        <v>59520</v>
      </c>
      <c r="Q100" s="20">
        <v>44413</v>
      </c>
    </row>
    <row r="101" spans="1:17" x14ac:dyDescent="0.3">
      <c r="A101" s="1"/>
      <c r="B101" s="2"/>
      <c r="C101" s="2"/>
      <c r="D101" s="2"/>
      <c r="E101" s="2"/>
      <c r="F101" s="4"/>
      <c r="G101" s="30"/>
      <c r="H101" s="5"/>
      <c r="I101" s="6"/>
      <c r="J101" s="2"/>
      <c r="K101" s="2"/>
      <c r="L101" s="2"/>
      <c r="M101" s="2"/>
      <c r="N101" s="7">
        <v>44439</v>
      </c>
      <c r="O101" s="4"/>
      <c r="P101" s="11">
        <v>59520</v>
      </c>
      <c r="Q101" s="9">
        <v>44439</v>
      </c>
    </row>
    <row r="102" spans="1:17" x14ac:dyDescent="0.3">
      <c r="A102" s="1"/>
      <c r="B102" s="2"/>
      <c r="C102" s="2"/>
      <c r="D102" s="2"/>
      <c r="E102" s="2"/>
      <c r="F102" s="4"/>
      <c r="G102" s="30"/>
      <c r="H102" s="5"/>
      <c r="I102" s="6"/>
      <c r="J102" s="2"/>
      <c r="K102" s="2"/>
      <c r="L102" s="2"/>
      <c r="M102" s="2"/>
      <c r="N102" s="7">
        <v>44469</v>
      </c>
      <c r="O102" s="4"/>
      <c r="P102" s="11">
        <v>57600</v>
      </c>
      <c r="Q102" s="9">
        <v>44474</v>
      </c>
    </row>
    <row r="103" spans="1:17" ht="102" x14ac:dyDescent="0.3">
      <c r="A103" s="21">
        <v>27</v>
      </c>
      <c r="B103" s="10" t="s">
        <v>0</v>
      </c>
      <c r="C103" s="10" t="s">
        <v>1</v>
      </c>
      <c r="D103" s="10" t="s">
        <v>2</v>
      </c>
      <c r="E103" s="10" t="s">
        <v>304</v>
      </c>
      <c r="F103" s="13">
        <v>44368</v>
      </c>
      <c r="G103" s="20" t="s">
        <v>305</v>
      </c>
      <c r="H103" s="8">
        <v>26000</v>
      </c>
      <c r="I103" s="22">
        <f>IF(X103 = 30, H103 + SUM(S103:S103) - SUM(T103:T103) - SUM(P103:P103) - V103,0)</f>
        <v>0</v>
      </c>
      <c r="J103" s="10" t="s">
        <v>306</v>
      </c>
      <c r="K103" s="10" t="s">
        <v>21</v>
      </c>
      <c r="L103" s="10" t="s">
        <v>6</v>
      </c>
      <c r="M103" s="10" t="s">
        <v>307</v>
      </c>
      <c r="N103" s="13">
        <v>44420</v>
      </c>
      <c r="O103" s="13" t="s">
        <v>231</v>
      </c>
      <c r="P103" s="8">
        <v>26000</v>
      </c>
      <c r="Q103" s="20">
        <v>44428</v>
      </c>
    </row>
    <row r="104" spans="1:17" ht="61.2" x14ac:dyDescent="0.3">
      <c r="A104" s="21">
        <v>28</v>
      </c>
      <c r="B104" s="10" t="s">
        <v>0</v>
      </c>
      <c r="C104" s="10" t="s">
        <v>1</v>
      </c>
      <c r="D104" s="10" t="s">
        <v>2</v>
      </c>
      <c r="E104" s="10" t="s">
        <v>304</v>
      </c>
      <c r="F104" s="13">
        <v>44419</v>
      </c>
      <c r="G104" s="20" t="s">
        <v>308</v>
      </c>
      <c r="H104" s="8">
        <v>42750</v>
      </c>
      <c r="I104" s="22">
        <f>IF(X104 = 31, H104 + SUM(S104:S104) - SUM(T104:T104) - SUM(P104:P104) - V104,0)</f>
        <v>0</v>
      </c>
      <c r="J104" s="10" t="s">
        <v>309</v>
      </c>
      <c r="K104" s="10" t="s">
        <v>310</v>
      </c>
      <c r="L104" s="10" t="s">
        <v>6</v>
      </c>
      <c r="M104" s="10" t="s">
        <v>311</v>
      </c>
      <c r="N104" s="13">
        <v>44432</v>
      </c>
      <c r="O104" s="13" t="s">
        <v>312</v>
      </c>
      <c r="P104" s="8">
        <v>42750</v>
      </c>
      <c r="Q104" s="20">
        <v>44424</v>
      </c>
    </row>
    <row r="105" spans="1:17" ht="102" x14ac:dyDescent="0.3">
      <c r="A105" s="21">
        <v>29</v>
      </c>
      <c r="B105" s="10" t="s">
        <v>0</v>
      </c>
      <c r="C105" s="10" t="s">
        <v>1</v>
      </c>
      <c r="D105" s="10" t="s">
        <v>2</v>
      </c>
      <c r="E105" s="10" t="s">
        <v>313</v>
      </c>
      <c r="F105" s="13">
        <v>44417</v>
      </c>
      <c r="G105" s="20" t="s">
        <v>314</v>
      </c>
      <c r="H105" s="8">
        <f>37000+8000</f>
        <v>45000</v>
      </c>
      <c r="I105" s="22">
        <f>IF(X105 = 32, H105 + SUM(S105:S105) - SUM(T105:T105) - SUM(P105:P105) - V105,0)</f>
        <v>0</v>
      </c>
      <c r="J105" s="10" t="s">
        <v>30</v>
      </c>
      <c r="K105" s="10" t="s">
        <v>31</v>
      </c>
      <c r="L105" s="10" t="s">
        <v>6</v>
      </c>
      <c r="M105" s="10" t="s">
        <v>298</v>
      </c>
      <c r="N105" s="13">
        <v>44417</v>
      </c>
      <c r="O105" s="13" t="s">
        <v>231</v>
      </c>
      <c r="P105" s="8">
        <v>45000</v>
      </c>
      <c r="Q105" s="20">
        <v>44428</v>
      </c>
    </row>
    <row r="106" spans="1:17" ht="61.2" x14ac:dyDescent="0.3">
      <c r="A106" s="21">
        <v>30</v>
      </c>
      <c r="B106" s="10" t="s">
        <v>0</v>
      </c>
      <c r="C106" s="10" t="s">
        <v>1</v>
      </c>
      <c r="D106" s="10" t="s">
        <v>2</v>
      </c>
      <c r="E106" s="10" t="s">
        <v>315</v>
      </c>
      <c r="F106" s="13">
        <v>44333</v>
      </c>
      <c r="G106" s="20" t="s">
        <v>316</v>
      </c>
      <c r="H106" s="8">
        <v>119275</v>
      </c>
      <c r="I106" s="22">
        <f>IF(X106 = 33, H106 + SUM(S106:S106) - SUM(T106:T106) - SUM(P106:P106) - V106,0)</f>
        <v>0</v>
      </c>
      <c r="J106" s="10" t="s">
        <v>34</v>
      </c>
      <c r="K106" s="10" t="s">
        <v>283</v>
      </c>
      <c r="L106" s="10" t="s">
        <v>6</v>
      </c>
      <c r="M106" s="10"/>
      <c r="N106" s="13">
        <v>44336</v>
      </c>
      <c r="O106" s="13"/>
      <c r="P106" s="8">
        <v>119275</v>
      </c>
      <c r="Q106" s="20">
        <v>44418</v>
      </c>
    </row>
    <row r="107" spans="1:17" ht="61.2" x14ac:dyDescent="0.3">
      <c r="A107" s="21">
        <v>31</v>
      </c>
      <c r="B107" s="10" t="s">
        <v>0</v>
      </c>
      <c r="C107" s="10" t="s">
        <v>1</v>
      </c>
      <c r="D107" s="10" t="s">
        <v>2</v>
      </c>
      <c r="E107" s="10" t="s">
        <v>317</v>
      </c>
      <c r="F107" s="13">
        <v>44411</v>
      </c>
      <c r="G107" s="20" t="s">
        <v>318</v>
      </c>
      <c r="H107" s="8">
        <v>20000</v>
      </c>
      <c r="I107" s="22">
        <f>IF(X107 = 34, H107 + SUM(S107:S107) - SUM(T107:T107) - SUM(P107:P107) - V107,0)</f>
        <v>0</v>
      </c>
      <c r="J107" s="10" t="s">
        <v>319</v>
      </c>
      <c r="K107" s="10" t="s">
        <v>283</v>
      </c>
      <c r="L107" s="10" t="s">
        <v>6</v>
      </c>
      <c r="M107" s="10"/>
      <c r="N107" s="13">
        <v>44413</v>
      </c>
      <c r="O107" s="13"/>
      <c r="P107" s="8">
        <v>20000</v>
      </c>
      <c r="Q107" s="20">
        <v>44420</v>
      </c>
    </row>
    <row r="108" spans="1:17" ht="91.8" x14ac:dyDescent="0.3">
      <c r="A108" s="21">
        <v>32</v>
      </c>
      <c r="B108" s="10" t="s">
        <v>0</v>
      </c>
      <c r="C108" s="10" t="s">
        <v>1</v>
      </c>
      <c r="D108" s="10" t="s">
        <v>2</v>
      </c>
      <c r="E108" s="10" t="s">
        <v>191</v>
      </c>
      <c r="F108" s="13">
        <v>44431</v>
      </c>
      <c r="G108" s="20" t="s">
        <v>320</v>
      </c>
      <c r="H108" s="8">
        <v>99990</v>
      </c>
      <c r="I108" s="22">
        <f>IF(X108 = 35, H108 + SUM(S108:S108) - SUM(T108:T108) - SUM(P108:P108) - V108,0)</f>
        <v>0</v>
      </c>
      <c r="J108" s="10" t="s">
        <v>321</v>
      </c>
      <c r="K108" s="10" t="s">
        <v>322</v>
      </c>
      <c r="L108" s="10" t="s">
        <v>6</v>
      </c>
      <c r="M108" s="10" t="s">
        <v>48</v>
      </c>
      <c r="N108" s="13">
        <v>44431</v>
      </c>
      <c r="O108" s="13" t="s">
        <v>75</v>
      </c>
      <c r="P108" s="8">
        <v>99990</v>
      </c>
      <c r="Q108" s="20">
        <v>44438</v>
      </c>
    </row>
    <row r="109" spans="1:17" ht="102" x14ac:dyDescent="0.3">
      <c r="A109" s="21">
        <v>33</v>
      </c>
      <c r="B109" s="10" t="s">
        <v>0</v>
      </c>
      <c r="C109" s="10" t="s">
        <v>1</v>
      </c>
      <c r="D109" s="10" t="s">
        <v>2</v>
      </c>
      <c r="E109" s="10" t="s">
        <v>199</v>
      </c>
      <c r="F109" s="13">
        <v>44413</v>
      </c>
      <c r="G109" s="20" t="s">
        <v>323</v>
      </c>
      <c r="H109" s="8">
        <v>2600</v>
      </c>
      <c r="I109" s="22">
        <f>IF(X109 = 36, H109 + SUM(S109:S109) - SUM(T109:T109) - SUM(P109:P109) - V109,0)</f>
        <v>0</v>
      </c>
      <c r="J109" s="10" t="s">
        <v>324</v>
      </c>
      <c r="K109" s="10" t="s">
        <v>325</v>
      </c>
      <c r="L109" s="10"/>
      <c r="M109" s="10" t="s">
        <v>48</v>
      </c>
      <c r="N109" s="13">
        <v>44426</v>
      </c>
      <c r="O109" s="13" t="s">
        <v>231</v>
      </c>
      <c r="P109" s="8">
        <v>2600</v>
      </c>
      <c r="Q109" s="20">
        <v>44462</v>
      </c>
    </row>
    <row r="110" spans="1:17" ht="102" x14ac:dyDescent="0.3">
      <c r="A110" s="21">
        <v>34</v>
      </c>
      <c r="B110" s="10" t="s">
        <v>252</v>
      </c>
      <c r="C110" s="10" t="s">
        <v>1</v>
      </c>
      <c r="D110" s="10"/>
      <c r="E110" s="10" t="s">
        <v>133</v>
      </c>
      <c r="F110" s="13">
        <v>44440</v>
      </c>
      <c r="G110" s="20" t="s">
        <v>326</v>
      </c>
      <c r="H110" s="8">
        <v>12500</v>
      </c>
      <c r="I110" s="22">
        <f>IF(X110 = 37, H110 + SUM(S110:S110) - SUM(T110:T110) - SUM(P110:P110) - V110,0)</f>
        <v>0</v>
      </c>
      <c r="J110" s="10" t="s">
        <v>105</v>
      </c>
      <c r="K110" s="10" t="s">
        <v>106</v>
      </c>
      <c r="L110" s="10" t="s">
        <v>6</v>
      </c>
      <c r="M110" s="10" t="s">
        <v>48</v>
      </c>
      <c r="N110" s="13">
        <v>44440</v>
      </c>
      <c r="O110" s="13" t="s">
        <v>231</v>
      </c>
      <c r="P110" s="8">
        <v>12500</v>
      </c>
      <c r="Q110" s="20">
        <v>44463</v>
      </c>
    </row>
    <row r="111" spans="1:17" ht="102" x14ac:dyDescent="0.3">
      <c r="A111" s="21">
        <v>35</v>
      </c>
      <c r="B111" s="10" t="s">
        <v>0</v>
      </c>
      <c r="C111" s="10" t="s">
        <v>1</v>
      </c>
      <c r="D111" s="10" t="s">
        <v>2</v>
      </c>
      <c r="E111" s="10" t="s">
        <v>327</v>
      </c>
      <c r="F111" s="13">
        <v>44445</v>
      </c>
      <c r="G111" s="20" t="s">
        <v>328</v>
      </c>
      <c r="H111" s="8">
        <v>19000</v>
      </c>
      <c r="I111" s="22">
        <f>IF(X111 = 38, H111 + SUM(S111:S111) - SUM(T111:T111) - SUM(P111:P111) - V111,0)</f>
        <v>0</v>
      </c>
      <c r="J111" s="10" t="s">
        <v>329</v>
      </c>
      <c r="K111" s="10" t="s">
        <v>330</v>
      </c>
      <c r="L111" s="10"/>
      <c r="M111" s="10" t="s">
        <v>48</v>
      </c>
      <c r="N111" s="13">
        <v>44455</v>
      </c>
      <c r="O111" s="13" t="s">
        <v>231</v>
      </c>
      <c r="P111" s="8">
        <v>19000</v>
      </c>
      <c r="Q111" s="20">
        <v>44463</v>
      </c>
    </row>
    <row r="112" spans="1:17" x14ac:dyDescent="0.3">
      <c r="A112" s="1">
        <v>36</v>
      </c>
      <c r="B112" s="2" t="s">
        <v>0</v>
      </c>
      <c r="C112" s="2" t="s">
        <v>1</v>
      </c>
      <c r="D112" s="2" t="s">
        <v>2</v>
      </c>
      <c r="E112" s="2" t="s">
        <v>331</v>
      </c>
      <c r="F112" s="4">
        <v>44446</v>
      </c>
      <c r="G112" s="30" t="s">
        <v>332</v>
      </c>
      <c r="H112" s="5">
        <v>22932</v>
      </c>
      <c r="I112" s="6">
        <f>IF(X112 = 39, H112 + SUM(S112:S117) - SUM(T112:T117) - SUM(P112:P117) - V112,0)</f>
        <v>0</v>
      </c>
      <c r="J112" s="2" t="s">
        <v>233</v>
      </c>
      <c r="K112" s="2" t="s">
        <v>333</v>
      </c>
      <c r="L112" s="2" t="s">
        <v>1</v>
      </c>
      <c r="M112" s="2" t="s">
        <v>334</v>
      </c>
      <c r="N112" s="13">
        <v>44449</v>
      </c>
      <c r="O112" s="4" t="s">
        <v>75</v>
      </c>
      <c r="P112" s="8">
        <v>1911</v>
      </c>
      <c r="Q112" s="20">
        <v>44462</v>
      </c>
    </row>
    <row r="113" spans="1:17" x14ac:dyDescent="0.3">
      <c r="A113" s="1"/>
      <c r="B113" s="2"/>
      <c r="C113" s="2"/>
      <c r="D113" s="2"/>
      <c r="E113" s="2"/>
      <c r="F113" s="4"/>
      <c r="G113" s="30"/>
      <c r="H113" s="5"/>
      <c r="I113" s="6"/>
      <c r="J113" s="2"/>
      <c r="K113" s="2"/>
      <c r="L113" s="2"/>
      <c r="M113" s="2"/>
      <c r="N113" s="7">
        <v>44455</v>
      </c>
      <c r="O113" s="4"/>
      <c r="P113" s="11">
        <v>1911</v>
      </c>
      <c r="Q113" s="9">
        <v>44462</v>
      </c>
    </row>
    <row r="114" spans="1:17" x14ac:dyDescent="0.3">
      <c r="A114" s="1"/>
      <c r="B114" s="2"/>
      <c r="C114" s="2"/>
      <c r="D114" s="2"/>
      <c r="E114" s="2"/>
      <c r="F114" s="4"/>
      <c r="G114" s="30"/>
      <c r="H114" s="5"/>
      <c r="I114" s="6"/>
      <c r="J114" s="2"/>
      <c r="K114" s="2"/>
      <c r="L114" s="2"/>
      <c r="M114" s="2"/>
      <c r="N114" s="7">
        <v>44462</v>
      </c>
      <c r="O114" s="4"/>
      <c r="P114" s="11">
        <v>1462.5</v>
      </c>
      <c r="Q114" s="9">
        <v>44463</v>
      </c>
    </row>
    <row r="115" spans="1:17" x14ac:dyDescent="0.3">
      <c r="A115" s="1"/>
      <c r="B115" s="2"/>
      <c r="C115" s="2"/>
      <c r="D115" s="2"/>
      <c r="E115" s="2"/>
      <c r="F115" s="4"/>
      <c r="G115" s="30"/>
      <c r="H115" s="5"/>
      <c r="I115" s="6"/>
      <c r="J115" s="2"/>
      <c r="K115" s="2"/>
      <c r="L115" s="2"/>
      <c r="M115" s="2"/>
      <c r="N115" s="7">
        <v>44469</v>
      </c>
      <c r="O115" s="4"/>
      <c r="P115" s="11">
        <v>1794</v>
      </c>
      <c r="Q115" s="9">
        <v>44474</v>
      </c>
    </row>
    <row r="116" spans="1:17" x14ac:dyDescent="0.3">
      <c r="A116" s="1"/>
      <c r="B116" s="2"/>
      <c r="C116" s="2"/>
      <c r="D116" s="2"/>
      <c r="E116" s="2"/>
      <c r="F116" s="4"/>
      <c r="G116" s="30"/>
      <c r="H116" s="5"/>
      <c r="I116" s="6"/>
      <c r="J116" s="2"/>
      <c r="K116" s="2"/>
      <c r="L116" s="2"/>
      <c r="M116" s="2"/>
      <c r="N116" s="7">
        <v>44476</v>
      </c>
      <c r="O116" s="4"/>
      <c r="P116" s="11">
        <v>1852.5</v>
      </c>
      <c r="Q116" s="9">
        <v>44487</v>
      </c>
    </row>
    <row r="117" spans="1:17" x14ac:dyDescent="0.3">
      <c r="A117" s="1"/>
      <c r="B117" s="2"/>
      <c r="C117" s="2"/>
      <c r="D117" s="2"/>
      <c r="E117" s="2"/>
      <c r="F117" s="4"/>
      <c r="G117" s="30"/>
      <c r="H117" s="5"/>
      <c r="I117" s="6"/>
      <c r="J117" s="2"/>
      <c r="K117" s="2"/>
      <c r="L117" s="2"/>
      <c r="M117" s="2"/>
      <c r="N117" s="7">
        <v>44483</v>
      </c>
      <c r="O117" s="4"/>
      <c r="P117" s="11">
        <v>1911</v>
      </c>
      <c r="Q117" s="9">
        <v>44488</v>
      </c>
    </row>
    <row r="118" spans="1:17" ht="91.8" x14ac:dyDescent="0.3">
      <c r="A118" s="21">
        <v>37</v>
      </c>
      <c r="B118" s="10" t="s">
        <v>0</v>
      </c>
      <c r="C118" s="10" t="s">
        <v>6</v>
      </c>
      <c r="D118" s="10" t="s">
        <v>2</v>
      </c>
      <c r="E118" s="10" t="s">
        <v>335</v>
      </c>
      <c r="F118" s="13">
        <v>44439</v>
      </c>
      <c r="G118" s="20" t="s">
        <v>336</v>
      </c>
      <c r="H118" s="8">
        <v>201600</v>
      </c>
      <c r="I118" s="22">
        <f>IF(X118 = 40, H118 + SUM(S118:S118) - SUM(T118:T118) - SUM(P118:P118) - V118,0)</f>
        <v>0</v>
      </c>
      <c r="J118" s="10" t="s">
        <v>224</v>
      </c>
      <c r="K118" s="10" t="s">
        <v>225</v>
      </c>
      <c r="L118" s="10" t="s">
        <v>1</v>
      </c>
      <c r="M118" s="10" t="s">
        <v>337</v>
      </c>
      <c r="N118" s="13">
        <v>44469</v>
      </c>
      <c r="O118" s="13" t="s">
        <v>75</v>
      </c>
      <c r="P118" s="8">
        <v>177312.1</v>
      </c>
      <c r="Q118" s="20">
        <v>44490</v>
      </c>
    </row>
    <row r="119" spans="1:17" ht="91.8" x14ac:dyDescent="0.3">
      <c r="A119" s="21">
        <v>38</v>
      </c>
      <c r="B119" s="10" t="s">
        <v>0</v>
      </c>
      <c r="C119" s="10" t="s">
        <v>6</v>
      </c>
      <c r="D119" s="10" t="s">
        <v>2</v>
      </c>
      <c r="E119" s="10" t="s">
        <v>338</v>
      </c>
      <c r="F119" s="13">
        <v>44467</v>
      </c>
      <c r="G119" s="20" t="s">
        <v>339</v>
      </c>
      <c r="H119" s="8">
        <v>200487</v>
      </c>
      <c r="I119" s="22">
        <f>IF(X119 = 41, H119 + SUM(S119:S119) - SUM(T119:T119) - SUM(P119:P119) - V119,0)</f>
        <v>0</v>
      </c>
      <c r="J119" s="10" t="s">
        <v>340</v>
      </c>
      <c r="K119" s="10" t="s">
        <v>225</v>
      </c>
      <c r="L119" s="10" t="s">
        <v>1</v>
      </c>
      <c r="M119" s="10" t="s">
        <v>341</v>
      </c>
      <c r="N119" s="13"/>
      <c r="O119" s="13" t="s">
        <v>75</v>
      </c>
      <c r="P119" s="8"/>
      <c r="Q119" s="20"/>
    </row>
    <row r="120" spans="1:17" ht="81.599999999999994" x14ac:dyDescent="0.3">
      <c r="A120" s="21">
        <v>39</v>
      </c>
      <c r="B120" s="10" t="s">
        <v>0</v>
      </c>
      <c r="C120" s="10" t="s">
        <v>1</v>
      </c>
      <c r="D120" s="10" t="s">
        <v>2</v>
      </c>
      <c r="E120" s="10" t="s">
        <v>342</v>
      </c>
      <c r="F120" s="13">
        <v>44474</v>
      </c>
      <c r="G120" s="20" t="s">
        <v>343</v>
      </c>
      <c r="H120" s="8">
        <v>4000</v>
      </c>
      <c r="I120" s="22">
        <f>IF(X120 = 42, H120 + SUM(S120:S120) - SUM(T120:T120) - SUM(P120:P120) - V120,0)</f>
        <v>0</v>
      </c>
      <c r="J120" s="10" t="s">
        <v>344</v>
      </c>
      <c r="K120" s="10" t="s">
        <v>345</v>
      </c>
      <c r="L120" s="10"/>
      <c r="M120" s="10" t="s">
        <v>48</v>
      </c>
      <c r="N120" s="13">
        <v>44475</v>
      </c>
      <c r="O120" s="13" t="s">
        <v>346</v>
      </c>
      <c r="P120" s="8">
        <v>4000</v>
      </c>
      <c r="Q120" s="20">
        <v>44480</v>
      </c>
    </row>
    <row r="121" spans="1:17" ht="81.599999999999994" x14ac:dyDescent="0.3">
      <c r="A121" s="21">
        <v>40</v>
      </c>
      <c r="B121" s="10" t="s">
        <v>0</v>
      </c>
      <c r="C121" s="10" t="s">
        <v>1</v>
      </c>
      <c r="D121" s="10" t="s">
        <v>2</v>
      </c>
      <c r="E121" s="10" t="s">
        <v>347</v>
      </c>
      <c r="F121" s="13">
        <v>44419</v>
      </c>
      <c r="G121" s="20" t="s">
        <v>348</v>
      </c>
      <c r="H121" s="8">
        <v>7000</v>
      </c>
      <c r="I121" s="22">
        <f>IF(X121 = 43, H121 + SUM(S121:S121) - SUM(T121:T121) - SUM(P121:P121) - V121,0)</f>
        <v>0</v>
      </c>
      <c r="J121" s="10" t="s">
        <v>349</v>
      </c>
      <c r="K121" s="10" t="s">
        <v>350</v>
      </c>
      <c r="L121" s="10"/>
      <c r="M121" s="10" t="s">
        <v>48</v>
      </c>
      <c r="N121" s="13">
        <v>44449</v>
      </c>
      <c r="O121" s="13" t="s">
        <v>346</v>
      </c>
      <c r="P121" s="8">
        <v>7000</v>
      </c>
      <c r="Q121" s="20">
        <v>44480</v>
      </c>
    </row>
    <row r="122" spans="1:17" ht="214.2" x14ac:dyDescent="0.3">
      <c r="A122" s="21">
        <v>41</v>
      </c>
      <c r="B122" s="10" t="s">
        <v>252</v>
      </c>
      <c r="C122" s="10" t="s">
        <v>1</v>
      </c>
      <c r="D122" s="10"/>
      <c r="E122" s="10" t="s">
        <v>351</v>
      </c>
      <c r="F122" s="13">
        <v>44489</v>
      </c>
      <c r="G122" s="20" t="s">
        <v>352</v>
      </c>
      <c r="H122" s="8">
        <v>9900</v>
      </c>
      <c r="I122" s="22">
        <f>IF(X122 = 44, H122 + SUM(S122:S122) - SUM(T122:T122) - SUM(P122:P122) - V122,0)</f>
        <v>0</v>
      </c>
      <c r="J122" s="10" t="s">
        <v>353</v>
      </c>
      <c r="K122" s="10" t="s">
        <v>354</v>
      </c>
      <c r="L122" s="10"/>
      <c r="M122" s="10" t="s">
        <v>355</v>
      </c>
      <c r="N122" s="13"/>
      <c r="O122" s="13" t="s">
        <v>356</v>
      </c>
      <c r="P122" s="8">
        <v>4950</v>
      </c>
      <c r="Q122" s="20">
        <v>44494</v>
      </c>
    </row>
    <row r="123" spans="1:17" ht="71.400000000000006" x14ac:dyDescent="0.3">
      <c r="A123" s="21">
        <v>42</v>
      </c>
      <c r="B123" s="10" t="s">
        <v>252</v>
      </c>
      <c r="C123" s="10" t="s">
        <v>1</v>
      </c>
      <c r="D123" s="10"/>
      <c r="E123" s="10" t="s">
        <v>357</v>
      </c>
      <c r="F123" s="13">
        <v>44406</v>
      </c>
      <c r="G123" s="20" t="s">
        <v>358</v>
      </c>
      <c r="H123" s="8">
        <v>17546</v>
      </c>
      <c r="I123" s="22">
        <f>IF(X123 = 45, H123 + SUM(S123:S123) - SUM(T123:T123) - SUM(P123:P123) - V123,0)</f>
        <v>0</v>
      </c>
      <c r="J123" s="10" t="s">
        <v>359</v>
      </c>
      <c r="K123" s="10" t="s">
        <v>360</v>
      </c>
      <c r="L123" s="10"/>
      <c r="M123" s="10" t="s">
        <v>361</v>
      </c>
      <c r="N123" s="13"/>
      <c r="O123" s="13" t="s">
        <v>362</v>
      </c>
      <c r="P123" s="8">
        <v>17546</v>
      </c>
      <c r="Q123" s="20">
        <v>44495</v>
      </c>
    </row>
    <row r="124" spans="1:17" x14ac:dyDescent="0.3">
      <c r="A124" s="1">
        <v>43</v>
      </c>
      <c r="B124" s="2" t="s">
        <v>0</v>
      </c>
      <c r="C124" s="2" t="s">
        <v>1</v>
      </c>
      <c r="D124" s="2" t="s">
        <v>2</v>
      </c>
      <c r="E124" s="2" t="s">
        <v>9</v>
      </c>
      <c r="F124" s="4">
        <v>44440</v>
      </c>
      <c r="G124" s="30" t="s">
        <v>227</v>
      </c>
      <c r="H124" s="5">
        <v>153750</v>
      </c>
      <c r="I124" s="6">
        <f>IF(X124 = 46, H124 + SUM(S124:S125) - SUM(T124:T125) - SUM(P124:P125) - V124,0)</f>
        <v>0</v>
      </c>
      <c r="J124" s="2" t="s">
        <v>228</v>
      </c>
      <c r="K124" s="2" t="s">
        <v>363</v>
      </c>
      <c r="L124" s="2"/>
      <c r="M124" s="2" t="s">
        <v>364</v>
      </c>
      <c r="N124" s="13">
        <v>44469</v>
      </c>
      <c r="O124" s="4" t="s">
        <v>346</v>
      </c>
      <c r="P124" s="8">
        <v>38478</v>
      </c>
      <c r="Q124" s="20">
        <v>44483</v>
      </c>
    </row>
    <row r="125" spans="1:17" x14ac:dyDescent="0.3">
      <c r="A125" s="1"/>
      <c r="B125" s="2"/>
      <c r="C125" s="2"/>
      <c r="D125" s="2"/>
      <c r="E125" s="2"/>
      <c r="F125" s="4"/>
      <c r="G125" s="30"/>
      <c r="H125" s="5"/>
      <c r="I125" s="6"/>
      <c r="J125" s="2"/>
      <c r="K125" s="2"/>
      <c r="L125" s="2"/>
      <c r="M125" s="2"/>
      <c r="N125" s="7"/>
      <c r="O125" s="4"/>
      <c r="P125" s="11">
        <v>11000</v>
      </c>
      <c r="Q125" s="9">
        <v>44483</v>
      </c>
    </row>
    <row r="126" spans="1:17" ht="91.8" x14ac:dyDescent="0.3">
      <c r="A126" s="21">
        <v>44</v>
      </c>
      <c r="B126" s="10" t="s">
        <v>0</v>
      </c>
      <c r="C126" s="10" t="s">
        <v>1</v>
      </c>
      <c r="D126" s="10" t="s">
        <v>2</v>
      </c>
      <c r="E126" s="10" t="s">
        <v>365</v>
      </c>
      <c r="F126" s="13">
        <v>44468</v>
      </c>
      <c r="G126" s="20" t="s">
        <v>366</v>
      </c>
      <c r="H126" s="8">
        <v>8200</v>
      </c>
      <c r="I126" s="22">
        <f>IF(X126 = 47, H126 + SUM(S126:S126) - SUM(T126:T126) - SUM(P126:P126) - V126,0)</f>
        <v>0</v>
      </c>
      <c r="J126" s="10" t="s">
        <v>105</v>
      </c>
      <c r="K126" s="10" t="s">
        <v>106</v>
      </c>
      <c r="L126" s="10" t="s">
        <v>6</v>
      </c>
      <c r="M126" s="10" t="s">
        <v>48</v>
      </c>
      <c r="N126" s="13">
        <v>44468</v>
      </c>
      <c r="O126" s="13" t="s">
        <v>75</v>
      </c>
      <c r="P126" s="8">
        <v>8200</v>
      </c>
      <c r="Q126" s="20">
        <v>44477</v>
      </c>
    </row>
  </sheetData>
  <mergeCells count="238">
    <mergeCell ref="M124:M125"/>
    <mergeCell ref="O124:O125"/>
    <mergeCell ref="G124:G125"/>
    <mergeCell ref="H124:H125"/>
    <mergeCell ref="I124:I125"/>
    <mergeCell ref="J124:J125"/>
    <mergeCell ref="K124:K125"/>
    <mergeCell ref="L124:L125"/>
    <mergeCell ref="A124:A125"/>
    <mergeCell ref="B124:B125"/>
    <mergeCell ref="C124:C125"/>
    <mergeCell ref="D124:D125"/>
    <mergeCell ref="E124:E125"/>
    <mergeCell ref="F124:F125"/>
    <mergeCell ref="I112:I117"/>
    <mergeCell ref="J112:J117"/>
    <mergeCell ref="K112:K117"/>
    <mergeCell ref="L112:L117"/>
    <mergeCell ref="M112:M117"/>
    <mergeCell ref="O112:O117"/>
    <mergeCell ref="M100:M102"/>
    <mergeCell ref="O100:O102"/>
    <mergeCell ref="A112:A117"/>
    <mergeCell ref="B112:B117"/>
    <mergeCell ref="C112:C117"/>
    <mergeCell ref="D112:D117"/>
    <mergeCell ref="E112:E117"/>
    <mergeCell ref="F112:F117"/>
    <mergeCell ref="G112:G117"/>
    <mergeCell ref="H112:H117"/>
    <mergeCell ref="G100:G102"/>
    <mergeCell ref="H100:H102"/>
    <mergeCell ref="I100:I102"/>
    <mergeCell ref="J100:J102"/>
    <mergeCell ref="K100:K102"/>
    <mergeCell ref="L100:L102"/>
    <mergeCell ref="A100:A102"/>
    <mergeCell ref="B100:B102"/>
    <mergeCell ref="C100:C102"/>
    <mergeCell ref="D100:D102"/>
    <mergeCell ref="E100:E102"/>
    <mergeCell ref="F100:F102"/>
    <mergeCell ref="I92:I94"/>
    <mergeCell ref="J92:J94"/>
    <mergeCell ref="K92:K94"/>
    <mergeCell ref="L92:L94"/>
    <mergeCell ref="M92:M94"/>
    <mergeCell ref="O92:O94"/>
    <mergeCell ref="M88:M89"/>
    <mergeCell ref="O88:O89"/>
    <mergeCell ref="A92:A94"/>
    <mergeCell ref="B92:B94"/>
    <mergeCell ref="C92:C94"/>
    <mergeCell ref="D92:D94"/>
    <mergeCell ref="E92:E94"/>
    <mergeCell ref="F92:F94"/>
    <mergeCell ref="G92:G94"/>
    <mergeCell ref="H92:H94"/>
    <mergeCell ref="G88:G89"/>
    <mergeCell ref="H88:H89"/>
    <mergeCell ref="I88:I89"/>
    <mergeCell ref="J88:J89"/>
    <mergeCell ref="K88:K89"/>
    <mergeCell ref="L88:L89"/>
    <mergeCell ref="A88:A89"/>
    <mergeCell ref="B88:B89"/>
    <mergeCell ref="C88:C89"/>
    <mergeCell ref="D88:D89"/>
    <mergeCell ref="E88:E89"/>
    <mergeCell ref="F88:F89"/>
    <mergeCell ref="I83:I86"/>
    <mergeCell ref="J83:J86"/>
    <mergeCell ref="K83:K86"/>
    <mergeCell ref="L83:L86"/>
    <mergeCell ref="M83:M86"/>
    <mergeCell ref="O83:O86"/>
    <mergeCell ref="M77:M82"/>
    <mergeCell ref="O77:O82"/>
    <mergeCell ref="A83:A86"/>
    <mergeCell ref="B83:B86"/>
    <mergeCell ref="C83:C86"/>
    <mergeCell ref="D83:D86"/>
    <mergeCell ref="E83:E86"/>
    <mergeCell ref="F83:F86"/>
    <mergeCell ref="G83:G86"/>
    <mergeCell ref="H83:H86"/>
    <mergeCell ref="G77:G82"/>
    <mergeCell ref="H77:H82"/>
    <mergeCell ref="I77:I82"/>
    <mergeCell ref="J77:J82"/>
    <mergeCell ref="K77:K82"/>
    <mergeCell ref="L77:L82"/>
    <mergeCell ref="A77:A82"/>
    <mergeCell ref="B77:B82"/>
    <mergeCell ref="C77:C82"/>
    <mergeCell ref="D77:D82"/>
    <mergeCell ref="E77:E82"/>
    <mergeCell ref="F77:F82"/>
    <mergeCell ref="I68:I73"/>
    <mergeCell ref="J68:J73"/>
    <mergeCell ref="K68:K73"/>
    <mergeCell ref="L68:L73"/>
    <mergeCell ref="M68:M73"/>
    <mergeCell ref="O68:O73"/>
    <mergeCell ref="M65:M67"/>
    <mergeCell ref="O65:O67"/>
    <mergeCell ref="A68:A73"/>
    <mergeCell ref="B68:B73"/>
    <mergeCell ref="C68:C73"/>
    <mergeCell ref="D68:D73"/>
    <mergeCell ref="E68:E73"/>
    <mergeCell ref="F68:F73"/>
    <mergeCell ref="G68:G73"/>
    <mergeCell ref="H68:H73"/>
    <mergeCell ref="G65:G67"/>
    <mergeCell ref="H65:H67"/>
    <mergeCell ref="I65:I67"/>
    <mergeCell ref="J65:J67"/>
    <mergeCell ref="K65:K67"/>
    <mergeCell ref="L65:L67"/>
    <mergeCell ref="A65:A67"/>
    <mergeCell ref="B65:B67"/>
    <mergeCell ref="C65:C67"/>
    <mergeCell ref="D65:D67"/>
    <mergeCell ref="E65:E67"/>
    <mergeCell ref="F65:F67"/>
    <mergeCell ref="I59:I64"/>
    <mergeCell ref="J59:J64"/>
    <mergeCell ref="K59:K64"/>
    <mergeCell ref="L59:L64"/>
    <mergeCell ref="M59:M64"/>
    <mergeCell ref="O59:O64"/>
    <mergeCell ref="M57:M58"/>
    <mergeCell ref="O57:O58"/>
    <mergeCell ref="A59:A64"/>
    <mergeCell ref="B59:B64"/>
    <mergeCell ref="C59:C64"/>
    <mergeCell ref="D59:D64"/>
    <mergeCell ref="E59:E64"/>
    <mergeCell ref="F59:F64"/>
    <mergeCell ref="G59:G64"/>
    <mergeCell ref="H59:H64"/>
    <mergeCell ref="G57:G58"/>
    <mergeCell ref="H57:H58"/>
    <mergeCell ref="I57:I58"/>
    <mergeCell ref="J57:J58"/>
    <mergeCell ref="K57:K58"/>
    <mergeCell ref="L57:L58"/>
    <mergeCell ref="A57:A58"/>
    <mergeCell ref="B57:B58"/>
    <mergeCell ref="C57:C58"/>
    <mergeCell ref="D57:D58"/>
    <mergeCell ref="E57:E58"/>
    <mergeCell ref="F57:F58"/>
    <mergeCell ref="I55:I56"/>
    <mergeCell ref="J55:J56"/>
    <mergeCell ref="K55:K56"/>
    <mergeCell ref="L55:L56"/>
    <mergeCell ref="M55:M56"/>
    <mergeCell ref="O55:O56"/>
    <mergeCell ref="M50:M54"/>
    <mergeCell ref="O50:O54"/>
    <mergeCell ref="A55:A56"/>
    <mergeCell ref="B55:B56"/>
    <mergeCell ref="C55:C56"/>
    <mergeCell ref="D55:D56"/>
    <mergeCell ref="E55:E56"/>
    <mergeCell ref="F55:F56"/>
    <mergeCell ref="G55:G56"/>
    <mergeCell ref="H55:H56"/>
    <mergeCell ref="G50:G54"/>
    <mergeCell ref="H50:H54"/>
    <mergeCell ref="I50:I54"/>
    <mergeCell ref="J50:J54"/>
    <mergeCell ref="K50:K54"/>
    <mergeCell ref="L50:L54"/>
    <mergeCell ref="A50:A54"/>
    <mergeCell ref="B50:B54"/>
    <mergeCell ref="C50:C54"/>
    <mergeCell ref="D50:D54"/>
    <mergeCell ref="E50:E54"/>
    <mergeCell ref="F50:F54"/>
    <mergeCell ref="I34:I49"/>
    <mergeCell ref="J34:J49"/>
    <mergeCell ref="K34:K49"/>
    <mergeCell ref="L34:L49"/>
    <mergeCell ref="M34:M49"/>
    <mergeCell ref="O34:O49"/>
    <mergeCell ref="M24:M33"/>
    <mergeCell ref="O24:O33"/>
    <mergeCell ref="A34:A49"/>
    <mergeCell ref="B34:B49"/>
    <mergeCell ref="C34:C49"/>
    <mergeCell ref="D34:D49"/>
    <mergeCell ref="E34:E49"/>
    <mergeCell ref="F34:F49"/>
    <mergeCell ref="G34:G49"/>
    <mergeCell ref="H34:H49"/>
    <mergeCell ref="G24:G33"/>
    <mergeCell ref="H24:H33"/>
    <mergeCell ref="I24:I33"/>
    <mergeCell ref="J24:J33"/>
    <mergeCell ref="K24:K33"/>
    <mergeCell ref="L24:L33"/>
    <mergeCell ref="A24:A33"/>
    <mergeCell ref="B24:B33"/>
    <mergeCell ref="C24:C33"/>
    <mergeCell ref="D24:D33"/>
    <mergeCell ref="E24:E33"/>
    <mergeCell ref="F24:F33"/>
    <mergeCell ref="I21:I23"/>
    <mergeCell ref="J21:J23"/>
    <mergeCell ref="K21:K23"/>
    <mergeCell ref="L21:L23"/>
    <mergeCell ref="M21:M23"/>
    <mergeCell ref="O21:O23"/>
    <mergeCell ref="M4:M20"/>
    <mergeCell ref="O4:O20"/>
    <mergeCell ref="A21:A23"/>
    <mergeCell ref="B21:B23"/>
    <mergeCell ref="C21:C23"/>
    <mergeCell ref="D21:D23"/>
    <mergeCell ref="E21:E23"/>
    <mergeCell ref="F21:F23"/>
    <mergeCell ref="G21:G23"/>
    <mergeCell ref="H21:H23"/>
    <mergeCell ref="G4:G20"/>
    <mergeCell ref="H4:H20"/>
    <mergeCell ref="I4:I20"/>
    <mergeCell ref="J4:J20"/>
    <mergeCell ref="K4:K20"/>
    <mergeCell ref="L4:L20"/>
    <mergeCell ref="A4:A20"/>
    <mergeCell ref="B4:B20"/>
    <mergeCell ref="C4:C20"/>
    <mergeCell ref="D4:D20"/>
    <mergeCell ref="E4:E20"/>
    <mergeCell ref="F4:F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Ед.поставщик п.4 ч.1</vt:lpstr>
      <vt:lpstr>Ед.поставщик п.5 ч.1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2021-11-18T12:02:33Z</dcterms:created>
  <dcterms:modified xsi:type="dcterms:W3CDTF">2021-11-18T12:16:18Z</dcterms:modified>
</cp:coreProperties>
</file>